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20" windowWidth="15132" windowHeight="6816" activeTab="2"/>
  </bookViews>
  <sheets>
    <sheet name="доходы" sheetId="3" r:id="rId1"/>
    <sheet name="октябрь расш" sheetId="1" r:id="rId2"/>
    <sheet name="расходы" sheetId="4" r:id="rId3"/>
  </sheets>
  <definedNames>
    <definedName name="Z_953F6272_BCBA_4E2A_B324_315CAA91D0DC_.wvu.Rows" localSheetId="0" hidden="1">доходы!$38:$38,доходы!#REF!,доходы!#REF!,доходы!#REF!,доходы!#REF!,доходы!#REF!</definedName>
    <definedName name="Z_953F6272_BCBA_4E2A_B324_315CAA91D0DC_.wvu.Rows" localSheetId="1" hidden="1">'октябрь расш'!#REF!,'октябрь расш'!#REF!,'октябрь расш'!#REF!,'октябрь расш'!#REF!,'октябрь расш'!#REF!,'октябрь расш'!#REF!</definedName>
    <definedName name="Z_B47CF732_6E85_4D8F_B03C_89DA2ED89ADF_.wvu.Cols" localSheetId="0" hidden="1">доходы!#REF!</definedName>
    <definedName name="Z_B47CF732_6E85_4D8F_B03C_89DA2ED89ADF_.wvu.Cols" localSheetId="1" hidden="1">'октябрь расш'!#REF!</definedName>
    <definedName name="Z_C425BA00_210C_48C2_AB7C_A6B940491DCD_.wvu.Rows" localSheetId="0" hidden="1">доходы!$38:$38,доходы!#REF!,доходы!#REF!,доходы!#REF!,доходы!#REF!,доходы!#REF!</definedName>
    <definedName name="Z_C425BA00_210C_48C2_AB7C_A6B940491DCD_.wvu.Rows" localSheetId="1" hidden="1">'октябрь расш'!#REF!,'октябрь расш'!#REF!,'октябрь расш'!#REF!,'октябрь расш'!#REF!,'октябрь расш'!#REF!,'октябрь расш'!#REF!</definedName>
    <definedName name="_xlnm.Print_Titles" localSheetId="0">доходы!$5:$6</definedName>
  </definedNames>
  <calcPr calcId="145621"/>
  <customWorkbookViews>
    <customWorkbookView name="Ситникова  - Личное представление" guid="{C425BA00-210C-48C2-AB7C-A6B940491DCD}" mergeInterval="0" personalView="1" maximized="1" windowWidth="1020" windowHeight="560" activeSheetId="1" showStatusbar="0"/>
    <customWorkbookView name="Данилова Татьяна Ивановна - Личное представление" guid="{953F6272-BCBA-4E2A-B324-315CAA91D0DC}" mergeInterval="0" personalView="1" maximized="1" xWindow="1" yWindow="1" windowWidth="1280" windowHeight="830" activeSheetId="1" showFormulaBar="0"/>
    <customWorkbookView name="Парамонова Оксана Борисовна - Личное представление" guid="{B47CF732-6E85-4D8F-B03C-89DA2ED89ADF}" mergeInterval="0" personalView="1" maximized="1" xWindow="1" yWindow="1" windowWidth="1280" windowHeight="723" activeSheetId="1"/>
  </customWorkbookViews>
  <fileRecoveryPr autoRecover="0"/>
</workbook>
</file>

<file path=xl/calcChain.xml><?xml version="1.0" encoding="utf-8"?>
<calcChain xmlns="http://schemas.openxmlformats.org/spreadsheetml/2006/main">
  <c r="L58" i="4" l="1"/>
  <c r="D58" i="4"/>
  <c r="M57" i="4"/>
  <c r="K57" i="4"/>
  <c r="N57" i="4" s="1"/>
  <c r="E57" i="4"/>
  <c r="L56" i="4"/>
  <c r="K56" i="4"/>
  <c r="N56" i="4" s="1"/>
  <c r="J56" i="4"/>
  <c r="I56" i="4"/>
  <c r="H56" i="4"/>
  <c r="G56" i="4"/>
  <c r="F56" i="4"/>
  <c r="E56" i="4"/>
  <c r="D56" i="4"/>
  <c r="M56" i="4" s="1"/>
  <c r="O55" i="4"/>
  <c r="M55" i="4"/>
  <c r="K55" i="4"/>
  <c r="N55" i="4" s="1"/>
  <c r="E55" i="4"/>
  <c r="M54" i="4"/>
  <c r="K54" i="4"/>
  <c r="N54" i="4" s="1"/>
  <c r="E54" i="4"/>
  <c r="E53" i="4" s="1"/>
  <c r="L53" i="4"/>
  <c r="J53" i="4"/>
  <c r="M53" i="4" s="1"/>
  <c r="I53" i="4"/>
  <c r="H53" i="4"/>
  <c r="G53" i="4"/>
  <c r="F53" i="4"/>
  <c r="O53" i="4" s="1"/>
  <c r="D53" i="4"/>
  <c r="P52" i="4"/>
  <c r="N52" i="4"/>
  <c r="M52" i="4"/>
  <c r="K52" i="4"/>
  <c r="Q52" i="4" s="1"/>
  <c r="H52" i="4"/>
  <c r="G52" i="4"/>
  <c r="E52" i="4"/>
  <c r="P51" i="4"/>
  <c r="N51" i="4"/>
  <c r="M51" i="4"/>
  <c r="K51" i="4"/>
  <c r="Q51" i="4" s="1"/>
  <c r="H51" i="4"/>
  <c r="G51" i="4"/>
  <c r="E51" i="4"/>
  <c r="P50" i="4"/>
  <c r="N50" i="4"/>
  <c r="M50" i="4"/>
  <c r="K50" i="4"/>
  <c r="Q50" i="4" s="1"/>
  <c r="H50" i="4"/>
  <c r="G50" i="4"/>
  <c r="E50" i="4"/>
  <c r="P49" i="4"/>
  <c r="N49" i="4"/>
  <c r="M49" i="4"/>
  <c r="K49" i="4"/>
  <c r="Q49" i="4" s="1"/>
  <c r="H49" i="4"/>
  <c r="H48" i="4" s="1"/>
  <c r="G49" i="4"/>
  <c r="E49" i="4"/>
  <c r="M48" i="4"/>
  <c r="L48" i="4"/>
  <c r="K48" i="4"/>
  <c r="J48" i="4"/>
  <c r="I48" i="4"/>
  <c r="G48" i="4"/>
  <c r="F48" i="4"/>
  <c r="F58" i="4" s="1"/>
  <c r="E48" i="4"/>
  <c r="N48" i="4" s="1"/>
  <c r="D48" i="4"/>
  <c r="R47" i="4"/>
  <c r="O47" i="4"/>
  <c r="M47" i="4"/>
  <c r="K47" i="4"/>
  <c r="Q47" i="4" s="1"/>
  <c r="I47" i="4"/>
  <c r="H47" i="4"/>
  <c r="G47" i="4"/>
  <c r="P47" i="4" s="1"/>
  <c r="E47" i="4"/>
  <c r="P46" i="4"/>
  <c r="N46" i="4"/>
  <c r="M46" i="4"/>
  <c r="K46" i="4"/>
  <c r="Q46" i="4" s="1"/>
  <c r="H46" i="4"/>
  <c r="G46" i="4"/>
  <c r="E46" i="4"/>
  <c r="P45" i="4"/>
  <c r="N45" i="4"/>
  <c r="M45" i="4"/>
  <c r="K45" i="4"/>
  <c r="Q45" i="4" s="1"/>
  <c r="H45" i="4"/>
  <c r="G45" i="4"/>
  <c r="E45" i="4"/>
  <c r="P44" i="4"/>
  <c r="N44" i="4"/>
  <c r="M44" i="4"/>
  <c r="K44" i="4"/>
  <c r="Q44" i="4" s="1"/>
  <c r="H44" i="4"/>
  <c r="G44" i="4"/>
  <c r="E44" i="4"/>
  <c r="P43" i="4"/>
  <c r="N43" i="4"/>
  <c r="M43" i="4"/>
  <c r="K43" i="4"/>
  <c r="Q43" i="4" s="1"/>
  <c r="H43" i="4"/>
  <c r="G43" i="4"/>
  <c r="E43" i="4"/>
  <c r="P42" i="4"/>
  <c r="N42" i="4"/>
  <c r="M42" i="4"/>
  <c r="K42" i="4"/>
  <c r="K41" i="4" s="1"/>
  <c r="H42" i="4"/>
  <c r="G42" i="4"/>
  <c r="E42" i="4"/>
  <c r="O41" i="4"/>
  <c r="M41" i="4"/>
  <c r="L41" i="4"/>
  <c r="R41" i="4" s="1"/>
  <c r="J41" i="4"/>
  <c r="I41" i="4"/>
  <c r="H41" i="4"/>
  <c r="G41" i="4"/>
  <c r="P41" i="4" s="1"/>
  <c r="F41" i="4"/>
  <c r="E41" i="4"/>
  <c r="D41" i="4"/>
  <c r="M40" i="4"/>
  <c r="K40" i="4"/>
  <c r="N40" i="4" s="1"/>
  <c r="G40" i="4"/>
  <c r="P40" i="4" s="1"/>
  <c r="E40" i="4"/>
  <c r="P39" i="4"/>
  <c r="O39" i="4"/>
  <c r="N39" i="4"/>
  <c r="M39" i="4"/>
  <c r="K39" i="4"/>
  <c r="Q39" i="4" s="1"/>
  <c r="I39" i="4"/>
  <c r="R39" i="4" s="1"/>
  <c r="G39" i="4"/>
  <c r="H39" i="4" s="1"/>
  <c r="E39" i="4"/>
  <c r="E38" i="4" s="1"/>
  <c r="L38" i="4"/>
  <c r="J38" i="4"/>
  <c r="M38" i="4" s="1"/>
  <c r="I38" i="4"/>
  <c r="F38" i="4"/>
  <c r="O38" i="4" s="1"/>
  <c r="D38" i="4"/>
  <c r="P37" i="4"/>
  <c r="N37" i="4"/>
  <c r="M37" i="4"/>
  <c r="K37" i="4"/>
  <c r="Q37" i="4" s="1"/>
  <c r="H37" i="4"/>
  <c r="G37" i="4"/>
  <c r="E37" i="4"/>
  <c r="P36" i="4"/>
  <c r="N36" i="4"/>
  <c r="M36" i="4"/>
  <c r="K36" i="4"/>
  <c r="Q36" i="4" s="1"/>
  <c r="H36" i="4"/>
  <c r="G36" i="4"/>
  <c r="E36" i="4"/>
  <c r="R35" i="4"/>
  <c r="P35" i="4"/>
  <c r="O35" i="4"/>
  <c r="M35" i="4"/>
  <c r="K35" i="4"/>
  <c r="I35" i="4"/>
  <c r="G35" i="4"/>
  <c r="H35" i="4" s="1"/>
  <c r="Q35" i="4" s="1"/>
  <c r="E35" i="4"/>
  <c r="N35" i="4" s="1"/>
  <c r="R34" i="4"/>
  <c r="P34" i="4"/>
  <c r="O34" i="4"/>
  <c r="M34" i="4"/>
  <c r="K34" i="4"/>
  <c r="N34" i="4" s="1"/>
  <c r="I34" i="4"/>
  <c r="I33" i="4" s="1"/>
  <c r="H34" i="4"/>
  <c r="H33" i="4" s="1"/>
  <c r="G34" i="4"/>
  <c r="E34" i="4"/>
  <c r="M33" i="4"/>
  <c r="L33" i="4"/>
  <c r="R33" i="4" s="1"/>
  <c r="K33" i="4"/>
  <c r="Q33" i="4" s="1"/>
  <c r="J33" i="4"/>
  <c r="G33" i="4"/>
  <c r="P33" i="4" s="1"/>
  <c r="F33" i="4"/>
  <c r="O33" i="4" s="1"/>
  <c r="E33" i="4"/>
  <c r="N33" i="4" s="1"/>
  <c r="D33" i="4"/>
  <c r="R32" i="4"/>
  <c r="O32" i="4"/>
  <c r="M32" i="4"/>
  <c r="K32" i="4"/>
  <c r="Q32" i="4" s="1"/>
  <c r="I32" i="4"/>
  <c r="H32" i="4"/>
  <c r="G32" i="4"/>
  <c r="P32" i="4" s="1"/>
  <c r="E32" i="4"/>
  <c r="O31" i="4"/>
  <c r="R31" i="4" s="1"/>
  <c r="M31" i="4"/>
  <c r="L31" i="4"/>
  <c r="J31" i="4"/>
  <c r="I31" i="4"/>
  <c r="H31" i="4"/>
  <c r="G31" i="4"/>
  <c r="P31" i="4" s="1"/>
  <c r="F31" i="4"/>
  <c r="E31" i="4"/>
  <c r="D31" i="4"/>
  <c r="P30" i="4"/>
  <c r="N30" i="4"/>
  <c r="M30" i="4"/>
  <c r="H30" i="4"/>
  <c r="Q30" i="4" s="1"/>
  <c r="E30" i="4"/>
  <c r="R29" i="4"/>
  <c r="O29" i="4"/>
  <c r="M29" i="4"/>
  <c r="K29" i="4"/>
  <c r="Q29" i="4" s="1"/>
  <c r="I29" i="4"/>
  <c r="H29" i="4"/>
  <c r="G29" i="4"/>
  <c r="P29" i="4" s="1"/>
  <c r="E29" i="4"/>
  <c r="R28" i="4"/>
  <c r="P28" i="4"/>
  <c r="O28" i="4"/>
  <c r="M28" i="4"/>
  <c r="K28" i="4"/>
  <c r="I28" i="4"/>
  <c r="G28" i="4"/>
  <c r="H28" i="4" s="1"/>
  <c r="Q28" i="4" s="1"/>
  <c r="E28" i="4"/>
  <c r="N28" i="4" s="1"/>
  <c r="R27" i="4"/>
  <c r="P27" i="4"/>
  <c r="O27" i="4"/>
  <c r="M27" i="4"/>
  <c r="K27" i="4"/>
  <c r="N27" i="4" s="1"/>
  <c r="I27" i="4"/>
  <c r="I26" i="4" s="1"/>
  <c r="H27" i="4"/>
  <c r="H26" i="4" s="1"/>
  <c r="G27" i="4"/>
  <c r="E27" i="4"/>
  <c r="M26" i="4"/>
  <c r="L26" i="4"/>
  <c r="R26" i="4" s="1"/>
  <c r="J26" i="4"/>
  <c r="G26" i="4"/>
  <c r="P26" i="4" s="1"/>
  <c r="F26" i="4"/>
  <c r="O26" i="4" s="1"/>
  <c r="E26" i="4"/>
  <c r="D26" i="4"/>
  <c r="M25" i="4"/>
  <c r="K25" i="4"/>
  <c r="N25" i="4" s="1"/>
  <c r="G25" i="4"/>
  <c r="P25" i="4" s="1"/>
  <c r="E25" i="4"/>
  <c r="N24" i="4"/>
  <c r="M24" i="4"/>
  <c r="K24" i="4"/>
  <c r="E24" i="4"/>
  <c r="O23" i="4"/>
  <c r="N23" i="4"/>
  <c r="M23" i="4"/>
  <c r="K23" i="4"/>
  <c r="E23" i="4"/>
  <c r="M22" i="4"/>
  <c r="K22" i="4"/>
  <c r="K19" i="4" s="1"/>
  <c r="I22" i="4"/>
  <c r="R22" i="4" s="1"/>
  <c r="G22" i="4"/>
  <c r="P22" i="4" s="1"/>
  <c r="E22" i="4"/>
  <c r="M21" i="4"/>
  <c r="H21" i="4"/>
  <c r="G21" i="4"/>
  <c r="P21" i="4" s="1"/>
  <c r="E21" i="4"/>
  <c r="N21" i="4" s="1"/>
  <c r="M20" i="4"/>
  <c r="E20" i="4"/>
  <c r="N20" i="4" s="1"/>
  <c r="O19" i="4"/>
  <c r="M19" i="4"/>
  <c r="L19" i="4"/>
  <c r="J19" i="4"/>
  <c r="G19" i="4"/>
  <c r="P19" i="4" s="1"/>
  <c r="F19" i="4"/>
  <c r="E19" i="4"/>
  <c r="D19" i="4"/>
  <c r="M18" i="4"/>
  <c r="K18" i="4"/>
  <c r="G18" i="4"/>
  <c r="P18" i="4" s="1"/>
  <c r="E18" i="4"/>
  <c r="M17" i="4"/>
  <c r="K17" i="4"/>
  <c r="N17" i="4" s="1"/>
  <c r="E17" i="4"/>
  <c r="M16" i="4"/>
  <c r="K16" i="4"/>
  <c r="G16" i="4"/>
  <c r="H16" i="4" s="1"/>
  <c r="E16" i="4"/>
  <c r="E15" i="4" s="1"/>
  <c r="L15" i="4"/>
  <c r="J15" i="4"/>
  <c r="M15" i="4" s="1"/>
  <c r="I15" i="4"/>
  <c r="F15" i="4"/>
  <c r="D15" i="4"/>
  <c r="R14" i="4"/>
  <c r="P14" i="4"/>
  <c r="N14" i="4"/>
  <c r="M14" i="4"/>
  <c r="K14" i="4"/>
  <c r="Q14" i="4" s="1"/>
  <c r="H14" i="4"/>
  <c r="G14" i="4"/>
  <c r="E14" i="4"/>
  <c r="P13" i="4"/>
  <c r="N13" i="4"/>
  <c r="M13" i="4"/>
  <c r="H13" i="4"/>
  <c r="Q13" i="4" s="1"/>
  <c r="G13" i="4"/>
  <c r="E13" i="4"/>
  <c r="P12" i="4"/>
  <c r="N12" i="4"/>
  <c r="M12" i="4"/>
  <c r="K12" i="4"/>
  <c r="H12" i="4"/>
  <c r="Q12" i="4" s="1"/>
  <c r="G12" i="4"/>
  <c r="E12" i="4"/>
  <c r="M11" i="4"/>
  <c r="K11" i="4"/>
  <c r="K8" i="4" s="1"/>
  <c r="E11" i="4"/>
  <c r="M10" i="4"/>
  <c r="K10" i="4"/>
  <c r="N10" i="4" s="1"/>
  <c r="G10" i="4"/>
  <c r="H10" i="4" s="1"/>
  <c r="E10" i="4"/>
  <c r="M9" i="4"/>
  <c r="K9" i="4"/>
  <c r="N9" i="4" s="1"/>
  <c r="G9" i="4"/>
  <c r="H9" i="4" s="1"/>
  <c r="E9" i="4"/>
  <c r="E8" i="4" s="1"/>
  <c r="L8" i="4"/>
  <c r="J8" i="4"/>
  <c r="M8" i="4" s="1"/>
  <c r="I8" i="4"/>
  <c r="F8" i="4"/>
  <c r="D8" i="4"/>
  <c r="D123" i="1"/>
  <c r="C123" i="1"/>
  <c r="H19" i="4" l="1"/>
  <c r="Q19" i="4" s="1"/>
  <c r="H38" i="4"/>
  <c r="Q41" i="4"/>
  <c r="N41" i="4"/>
  <c r="O58" i="4"/>
  <c r="H15" i="4"/>
  <c r="Q16" i="4"/>
  <c r="H58" i="4"/>
  <c r="H8" i="4"/>
  <c r="N8" i="4"/>
  <c r="Q8" i="4"/>
  <c r="N19" i="4"/>
  <c r="Q48" i="4"/>
  <c r="Q18" i="4"/>
  <c r="G8" i="4"/>
  <c r="P8" i="4" s="1"/>
  <c r="P9" i="4"/>
  <c r="P10" i="4"/>
  <c r="N16" i="4"/>
  <c r="K26" i="4"/>
  <c r="J58" i="4"/>
  <c r="Q9" i="4"/>
  <c r="Q10" i="4"/>
  <c r="G15" i="4"/>
  <c r="P15" i="4"/>
  <c r="P16" i="4"/>
  <c r="H18" i="4"/>
  <c r="H22" i="4"/>
  <c r="Q27" i="4"/>
  <c r="Q34" i="4"/>
  <c r="G38" i="4"/>
  <c r="P38" i="4" s="1"/>
  <c r="H40" i="4"/>
  <c r="E58" i="4"/>
  <c r="I19" i="4"/>
  <c r="I58" i="4" s="1"/>
  <c r="R58" i="4" s="1"/>
  <c r="N29" i="4"/>
  <c r="N47" i="4"/>
  <c r="P48" i="4"/>
  <c r="N11" i="4"/>
  <c r="K15" i="4"/>
  <c r="N22" i="4"/>
  <c r="K38" i="4"/>
  <c r="Q42" i="4"/>
  <c r="K53" i="4"/>
  <c r="N53" i="4" s="1"/>
  <c r="N18" i="4"/>
  <c r="N32" i="4"/>
  <c r="Q21" i="4"/>
  <c r="K31" i="4"/>
  <c r="N31" i="4" s="1"/>
  <c r="Q31" i="4" s="1"/>
  <c r="Q40" i="4"/>
  <c r="H25" i="4"/>
  <c r="Q25" i="4" s="1"/>
  <c r="D109" i="1"/>
  <c r="C109" i="1"/>
  <c r="E100" i="1"/>
  <c r="D183" i="1"/>
  <c r="C183" i="1"/>
  <c r="E201" i="1"/>
  <c r="E198" i="1"/>
  <c r="E199" i="1"/>
  <c r="E197" i="1"/>
  <c r="E195" i="1"/>
  <c r="P58" i="4" l="1"/>
  <c r="M58" i="4"/>
  <c r="Q26" i="4"/>
  <c r="N26" i="4"/>
  <c r="G58" i="4"/>
  <c r="Q38" i="4"/>
  <c r="N38" i="4"/>
  <c r="K58" i="4"/>
  <c r="N15" i="4"/>
  <c r="Q15" i="4"/>
  <c r="D29" i="3"/>
  <c r="E36" i="3"/>
  <c r="C29" i="3"/>
  <c r="Q58" i="4" l="1"/>
  <c r="N58" i="4"/>
  <c r="E148" i="1"/>
  <c r="E134" i="1"/>
  <c r="D116" i="1"/>
  <c r="E113" i="1"/>
  <c r="D106" i="1"/>
  <c r="C106" i="1"/>
  <c r="D70" i="1"/>
  <c r="E87" i="1"/>
  <c r="E77" i="1"/>
  <c r="E71" i="1"/>
  <c r="C8" i="1"/>
  <c r="D243" i="1"/>
  <c r="C243" i="1"/>
  <c r="E115" i="1"/>
  <c r="E110" i="1"/>
  <c r="C70" i="1"/>
  <c r="C18" i="1"/>
  <c r="E176" i="1" l="1"/>
  <c r="D15" i="1" l="1"/>
  <c r="E174" i="1" l="1"/>
  <c r="E51" i="3" l="1"/>
  <c r="D112" i="1"/>
  <c r="C112" i="1"/>
  <c r="E172" i="1"/>
  <c r="D170" i="1"/>
  <c r="C170" i="1"/>
  <c r="E112" i="1" l="1"/>
  <c r="D127" i="1" l="1"/>
  <c r="C127" i="1"/>
  <c r="E129" i="1"/>
  <c r="E127" i="1" l="1"/>
  <c r="E246" i="1"/>
  <c r="E257" i="1"/>
  <c r="D75" i="1"/>
  <c r="D69" i="1" s="1"/>
  <c r="D211" i="1"/>
  <c r="C211" i="1"/>
  <c r="E228" i="1"/>
  <c r="E206" i="1"/>
  <c r="E193" i="1"/>
  <c r="E196" i="1"/>
  <c r="E182" i="1"/>
  <c r="E181" i="1"/>
  <c r="E180" i="1"/>
  <c r="E179" i="1"/>
  <c r="C177" i="1"/>
  <c r="E151" i="1"/>
  <c r="C116" i="1"/>
  <c r="E78" i="1"/>
  <c r="E79" i="1"/>
  <c r="E80" i="1"/>
  <c r="E81" i="1"/>
  <c r="E82" i="1"/>
  <c r="E83" i="1"/>
  <c r="E84" i="1"/>
  <c r="E85" i="1"/>
  <c r="E86" i="1"/>
  <c r="E88" i="1"/>
  <c r="E89" i="1"/>
  <c r="E65" i="1"/>
  <c r="E66" i="1"/>
  <c r="E67" i="1"/>
  <c r="E68" i="1"/>
  <c r="E24" i="1"/>
  <c r="E11" i="1"/>
  <c r="E12" i="1"/>
  <c r="E194" i="1" l="1"/>
  <c r="E200" i="1"/>
  <c r="D177" i="1"/>
  <c r="C173" i="1"/>
  <c r="E168" i="1"/>
  <c r="D135" i="1"/>
  <c r="C135" i="1"/>
  <c r="D28" i="1"/>
  <c r="C240" i="1"/>
  <c r="E210" i="1"/>
  <c r="E190" i="1"/>
  <c r="E169" i="1"/>
  <c r="C167" i="1"/>
  <c r="E253" i="1"/>
  <c r="E250" i="1"/>
  <c r="E249" i="1"/>
  <c r="E248" i="1"/>
  <c r="E247" i="1"/>
  <c r="E245" i="1"/>
  <c r="E244" i="1"/>
  <c r="E242" i="1"/>
  <c r="E241" i="1"/>
  <c r="E239" i="1"/>
  <c r="E238" i="1"/>
  <c r="E236" i="1"/>
  <c r="E234" i="1"/>
  <c r="E233" i="1"/>
  <c r="E231" i="1"/>
  <c r="E229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09" i="1"/>
  <c r="E207" i="1"/>
  <c r="E205" i="1"/>
  <c r="E204" i="1"/>
  <c r="E192" i="1"/>
  <c r="E191" i="1"/>
  <c r="E189" i="1"/>
  <c r="E188" i="1"/>
  <c r="E187" i="1"/>
  <c r="E186" i="1"/>
  <c r="E185" i="1"/>
  <c r="E184" i="1"/>
  <c r="E178" i="1"/>
  <c r="E175" i="1"/>
  <c r="E171" i="1"/>
  <c r="E164" i="1"/>
  <c r="E161" i="1"/>
  <c r="E160" i="1"/>
  <c r="E159" i="1"/>
  <c r="E156" i="1"/>
  <c r="E155" i="1"/>
  <c r="E154" i="1"/>
  <c r="E153" i="1"/>
  <c r="E152" i="1"/>
  <c r="E149" i="1"/>
  <c r="E144" i="1"/>
  <c r="E142" i="1"/>
  <c r="E132" i="1"/>
  <c r="E124" i="1"/>
  <c r="E122" i="1"/>
  <c r="E121" i="1"/>
  <c r="E118" i="1"/>
  <c r="E117" i="1"/>
  <c r="E107" i="1"/>
  <c r="E105" i="1"/>
  <c r="E103" i="1"/>
  <c r="E102" i="1"/>
  <c r="E99" i="1"/>
  <c r="E97" i="1"/>
  <c r="E94" i="1"/>
  <c r="E93" i="1"/>
  <c r="E92" i="1"/>
  <c r="E76" i="1"/>
  <c r="E74" i="1"/>
  <c r="E73" i="1"/>
  <c r="E72" i="1"/>
  <c r="E64" i="1"/>
  <c r="E61" i="1"/>
  <c r="E60" i="1"/>
  <c r="E59" i="1"/>
  <c r="E58" i="1"/>
  <c r="E57" i="1"/>
  <c r="E56" i="1"/>
  <c r="E54" i="1"/>
  <c r="E53" i="1"/>
  <c r="E52" i="1"/>
  <c r="E51" i="1"/>
  <c r="E49" i="1"/>
  <c r="E42" i="1"/>
  <c r="E41" i="1"/>
  <c r="E40" i="1"/>
  <c r="E38" i="1"/>
  <c r="E37" i="1"/>
  <c r="E35" i="1"/>
  <c r="E34" i="1"/>
  <c r="E32" i="1"/>
  <c r="E29" i="1"/>
  <c r="E26" i="1"/>
  <c r="E22" i="1"/>
  <c r="E19" i="1"/>
  <c r="E16" i="1"/>
  <c r="E10" i="1"/>
  <c r="E9" i="1"/>
  <c r="E47" i="3"/>
  <c r="E39" i="3"/>
  <c r="E28" i="3"/>
  <c r="D130" i="1"/>
  <c r="C130" i="1"/>
  <c r="D63" i="1"/>
  <c r="D62" i="1" s="1"/>
  <c r="C63" i="1"/>
  <c r="C62" i="1" s="1"/>
  <c r="C43" i="1"/>
  <c r="D43" i="1"/>
  <c r="D21" i="1"/>
  <c r="D208" i="1"/>
  <c r="C208" i="1"/>
  <c r="C162" i="1"/>
  <c r="D162" i="1"/>
  <c r="C75" i="1"/>
  <c r="C69" i="1" s="1"/>
  <c r="D55" i="1"/>
  <c r="E211" i="1"/>
  <c r="E106" i="1"/>
  <c r="C39" i="1"/>
  <c r="D18" i="1"/>
  <c r="D235" i="1"/>
  <c r="C235" i="1"/>
  <c r="D8" i="1"/>
  <c r="D25" i="1"/>
  <c r="D33" i="1"/>
  <c r="D36" i="1"/>
  <c r="D39" i="1"/>
  <c r="E39" i="1" s="1"/>
  <c r="D50" i="1"/>
  <c r="D91" i="1"/>
  <c r="D90" i="1" s="1"/>
  <c r="D104" i="1"/>
  <c r="D119" i="1"/>
  <c r="D203" i="1"/>
  <c r="D230" i="1"/>
  <c r="D232" i="1"/>
  <c r="D252" i="1"/>
  <c r="D254" i="1"/>
  <c r="D256" i="1"/>
  <c r="C203" i="1"/>
  <c r="C230" i="1"/>
  <c r="C232" i="1"/>
  <c r="C254" i="1"/>
  <c r="C252" i="1"/>
  <c r="C256" i="1"/>
  <c r="C15" i="1"/>
  <c r="E15" i="1" s="1"/>
  <c r="C21" i="1"/>
  <c r="C25" i="1"/>
  <c r="C28" i="1"/>
  <c r="E28" i="1" s="1"/>
  <c r="C33" i="1"/>
  <c r="C36" i="1"/>
  <c r="C50" i="1"/>
  <c r="C55" i="1"/>
  <c r="C91" i="1"/>
  <c r="C90" i="1" s="1"/>
  <c r="C104" i="1"/>
  <c r="C119" i="1"/>
  <c r="E45" i="3"/>
  <c r="E44" i="3"/>
  <c r="E43" i="3"/>
  <c r="E42" i="3"/>
  <c r="E38" i="3"/>
  <c r="E37" i="3"/>
  <c r="E35" i="3"/>
  <c r="E33" i="3"/>
  <c r="E30" i="3"/>
  <c r="E27" i="3"/>
  <c r="E25" i="3"/>
  <c r="E24" i="3"/>
  <c r="E23" i="3"/>
  <c r="E22" i="3"/>
  <c r="E21" i="3"/>
  <c r="E20" i="3"/>
  <c r="E17" i="3"/>
  <c r="E16" i="3"/>
  <c r="E15" i="3"/>
  <c r="E14" i="3"/>
  <c r="E12" i="3"/>
  <c r="E11" i="3"/>
  <c r="E10" i="3"/>
  <c r="E8" i="3"/>
  <c r="D9" i="3"/>
  <c r="D13" i="3"/>
  <c r="D19" i="3"/>
  <c r="D26" i="3"/>
  <c r="D41" i="3"/>
  <c r="D46" i="3"/>
  <c r="D48" i="3"/>
  <c r="D50" i="3"/>
  <c r="C50" i="3"/>
  <c r="C48" i="3"/>
  <c r="C46" i="3"/>
  <c r="C41" i="3"/>
  <c r="C26" i="3"/>
  <c r="C19" i="3"/>
  <c r="C13" i="3"/>
  <c r="C9" i="3"/>
  <c r="C7" i="3" s="1"/>
  <c r="E170" i="1"/>
  <c r="E116" i="1"/>
  <c r="D7" i="3" l="1"/>
  <c r="E119" i="1"/>
  <c r="D48" i="1"/>
  <c r="E50" i="1"/>
  <c r="E25" i="1"/>
  <c r="E109" i="1"/>
  <c r="E46" i="3"/>
  <c r="C101" i="1"/>
  <c r="D101" i="1"/>
  <c r="D173" i="1"/>
  <c r="E173" i="1" s="1"/>
  <c r="E230" i="1"/>
  <c r="E256" i="1"/>
  <c r="E50" i="3"/>
  <c r="E19" i="3"/>
  <c r="E252" i="1"/>
  <c r="E130" i="1"/>
  <c r="C202" i="1"/>
  <c r="C166" i="1" s="1"/>
  <c r="C165" i="1" s="1"/>
  <c r="E55" i="1"/>
  <c r="D40" i="3"/>
  <c r="E29" i="3"/>
  <c r="E26" i="3"/>
  <c r="E13" i="3"/>
  <c r="E9" i="3"/>
  <c r="C40" i="3"/>
  <c r="E41" i="3"/>
  <c r="C52" i="3"/>
  <c r="D14" i="1"/>
  <c r="D13" i="1" s="1"/>
  <c r="C14" i="1"/>
  <c r="C13" i="1" s="1"/>
  <c r="E232" i="1"/>
  <c r="E203" i="1"/>
  <c r="E104" i="1"/>
  <c r="E208" i="1"/>
  <c r="E33" i="1"/>
  <c r="E21" i="1"/>
  <c r="E183" i="1"/>
  <c r="D202" i="1"/>
  <c r="E63" i="1"/>
  <c r="D31" i="1"/>
  <c r="E123" i="1"/>
  <c r="E69" i="1"/>
  <c r="E75" i="1"/>
  <c r="D240" i="1"/>
  <c r="E177" i="1"/>
  <c r="E91" i="1"/>
  <c r="E243" i="1"/>
  <c r="E235" i="1"/>
  <c r="E18" i="1"/>
  <c r="E162" i="1"/>
  <c r="D167" i="1"/>
  <c r="E167" i="1" s="1"/>
  <c r="E135" i="1"/>
  <c r="E8" i="1"/>
  <c r="E90" i="1"/>
  <c r="C31" i="1"/>
  <c r="E36" i="1"/>
  <c r="E70" i="1"/>
  <c r="E62" i="1"/>
  <c r="C48" i="1"/>
  <c r="D52" i="3" l="1"/>
  <c r="E52" i="3" s="1"/>
  <c r="E48" i="1"/>
  <c r="E101" i="1"/>
  <c r="E202" i="1"/>
  <c r="E13" i="1"/>
  <c r="E14" i="1"/>
  <c r="E40" i="3"/>
  <c r="E7" i="3"/>
  <c r="E240" i="1"/>
  <c r="E31" i="1"/>
  <c r="D166" i="1"/>
  <c r="D165" i="1" s="1"/>
  <c r="E165" i="1" s="1"/>
  <c r="C7" i="1"/>
  <c r="D7" i="1"/>
  <c r="E166" i="1" l="1"/>
  <c r="D258" i="1"/>
  <c r="C258" i="1"/>
  <c r="E7" i="1"/>
  <c r="E258" i="1" l="1"/>
</calcChain>
</file>

<file path=xl/sharedStrings.xml><?xml version="1.0" encoding="utf-8"?>
<sst xmlns="http://schemas.openxmlformats.org/spreadsheetml/2006/main" count="778" uniqueCount="593">
  <si>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</si>
  <si>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округов, администрируемая Управлением по потребительскому рынку 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</si>
  <si>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</t>
  </si>
  <si>
    <t xml:space="preserve">Возврат остатков субсидий, субвенций и иных межбюджетных трансфертов, имеющих целевое назначение, прошлых лет </t>
  </si>
  <si>
    <t>040 2 02 04999 04 0000 151</t>
  </si>
  <si>
    <t>040 2 02 02041 04 0000 151</t>
  </si>
  <si>
    <t>040 2 02 02077 04 0000 151</t>
  </si>
  <si>
    <t>040 2 02 02999 04 0000 151</t>
  </si>
  <si>
    <t>040 2 02 03000 00 0000 151</t>
  </si>
  <si>
    <t>040 2 02 03055 04 0000 151</t>
  </si>
  <si>
    <t>040 2 02 03069 04 0000 151</t>
  </si>
  <si>
    <t>040 2 02 03070 04 0000 151</t>
  </si>
  <si>
    <t>040 2 02 04000 00 0000 151</t>
  </si>
  <si>
    <t>Задолженность и перерасчеты по отмененным налогам, сборам и иным обязательным платежам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</si>
  <si>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 спиртосодержащей и табачной продукции</t>
  </si>
  <si>
    <t>Прочие дотации бюджетам городских округов</t>
  </si>
  <si>
    <t xml:space="preserve">040 1 16 23040 04 0290 140 </t>
  </si>
  <si>
    <t>530 1 16 25050 01 0000 140</t>
  </si>
  <si>
    <t>- налагаемые Управлением федеральной службы по надзору в сфере природопользования (Росприроднадзора) по ХМАО-Югре</t>
  </si>
  <si>
    <t>- налагаемые Отделом по организации деятельности территориальной комиссии по делам несовершеннолетних и защите их прав администрации города</t>
  </si>
  <si>
    <t>- налагаемые Службой государственного надзора за техническим состоянием самоходных машин и других видов техники ХМАО - Югры</t>
  </si>
  <si>
    <t>630 1 16 90040 04 0000 140</t>
  </si>
  <si>
    <t>040 1 11 05024 04 0000 120</t>
  </si>
  <si>
    <t xml:space="preserve"> Д О Х О Д Ы </t>
  </si>
  <si>
    <t>Налоги на совокупный доход</t>
  </si>
  <si>
    <t xml:space="preserve">Единый налог на вмененный доход для отдельных видов деятельности </t>
  </si>
  <si>
    <t>Налоги на имущество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</si>
  <si>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</si>
  <si>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</si>
  <si>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</si>
  <si>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</si>
  <si>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Плата за негативное воздействие на окружающую среду</t>
  </si>
  <si>
    <t>Штрафы, санкции, возмещение ущерба</t>
  </si>
  <si>
    <t>В С Е Г О   Д О Х О Д О В</t>
  </si>
  <si>
    <t>КБК</t>
  </si>
  <si>
    <t xml:space="preserve">Безвозмездные поступления </t>
  </si>
  <si>
    <t>182 1 01 02000 01 0000 110</t>
  </si>
  <si>
    <t>000 1 05 00000 00 0000 000</t>
  </si>
  <si>
    <t>Налог, взимаемый в связи с применением упрощенной системы налогообложения</t>
  </si>
  <si>
    <t>182 1 05 01000 00 0000 110</t>
  </si>
  <si>
    <t>182 1 05 02000 02 0000 110</t>
  </si>
  <si>
    <t>000 1 06 00000 00 0000 000</t>
  </si>
  <si>
    <t>182 1 06 01020 04 0000 110</t>
  </si>
  <si>
    <t>182 1 06 04000 02 0000 110</t>
  </si>
  <si>
    <t xml:space="preserve">Транспортный налог </t>
  </si>
  <si>
    <t>182 1 06 06000 00 0000 110</t>
  </si>
  <si>
    <t>000 1 08 00000 00 0000 000</t>
  </si>
  <si>
    <t>000 1 11 00000 00 0000 000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</si>
  <si>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</si>
  <si>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000 1 12 00000 00 0000 000</t>
  </si>
  <si>
    <t>000 1 14 00000 00 0000 000</t>
  </si>
  <si>
    <t>Доходы от продажи квартир, находящихся в собственности городских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</si>
  <si>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</si>
  <si>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</si>
  <si>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000 2 00 00000 00 0000 000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</si>
  <si>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</si>
  <si>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</si>
  <si>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</si>
  <si>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</si>
  <si>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 xml:space="preserve">Налог на доходы физических лиц </t>
  </si>
  <si>
    <t>Наименование кода доходов</t>
  </si>
  <si>
    <t>182 1 05 03000 01 0000 110</t>
  </si>
  <si>
    <t xml:space="preserve">Единый сельскохозяйственный налог </t>
  </si>
  <si>
    <t>000 1 09 00000 00 0000 000</t>
  </si>
  <si>
    <t xml:space="preserve">Доходы от продажи материальных и нематериальных активов </t>
  </si>
  <si>
    <t>000 1 13 00000 00 0000 000</t>
  </si>
  <si>
    <t>000 1 17 00000 00 0000 000</t>
  </si>
  <si>
    <t xml:space="preserve">Прочие неналоговые доходы </t>
  </si>
  <si>
    <t>Прочие безвозмездные поступления</t>
  </si>
  <si>
    <t>Прочие безвозмездные поступления в бюджеты городских округов</t>
  </si>
  <si>
    <t>Доходы от продажи квартир, находящихся в собственности городских округов (по договорам найма с правом выкупа)</t>
  </si>
  <si>
    <t>Доходы от продажи квартир, находящихся в собственности городских округов (по договорам мены)</t>
  </si>
  <si>
    <t>Доходы от продажи квартир, находящихся в собственности городских округов (по договорам купли - продажи с молодыми семьями о приобретении доли Администрации города )</t>
  </si>
  <si>
    <t xml:space="preserve">Прочие поступления от денежных взысканий (штрафов) и иных сумм в возмещение ущерба, зачисляемые в бюджеты городских округов </t>
  </si>
  <si>
    <t>Невыясненные поступления, зачисляемые в бюджеты городских округов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</si>
  <si>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</si>
  <si>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в области обеспечения санитарно - эпидемиологического благополучия человека и законодательства в сфере защиты прав потребителей</t>
  </si>
  <si>
    <t>Налог, взимаемый с налогоплательщиков, выбравших в качестве объекта налоообложения доходы</t>
  </si>
  <si>
    <t>182 1 05 01010 01 0000 110</t>
  </si>
  <si>
    <t>Транспортный налог с организаций</t>
  </si>
  <si>
    <t>Транспортный налог с физических лиц</t>
  </si>
  <si>
    <t>182 1 06 04012 02 0000 110</t>
  </si>
  <si>
    <t>182 1 06 04011 02 0000 110</t>
  </si>
  <si>
    <t xml:space="preserve">Доходы от выдачи патентов на осуществление предпринимательской деятельности при применении упрощенной системы налогообложения </t>
  </si>
  <si>
    <t xml:space="preserve">Налог, взимаемый в виде стоимости патента в связи с применением упрощенной системы налогообложения 
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</si>
  <si>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</si>
  <si>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182 1 06 06012 04 0000 110</t>
  </si>
  <si>
    <t>182 1 06 06022 04 0000 110</t>
  </si>
  <si>
    <t xml:space="preserve">Земельный налог (по обязательствам, возникшим до 1 января 2006 года), мобилизуемый на территориях городских округов </t>
  </si>
  <si>
    <t>Налог на рекламу, мобилизуемый на территориях городских округов</t>
  </si>
  <si>
    <t>Денежные взыскания (штрафы) за нарушение законодательства о применении контрольно - кассовой техники при осуществлении наличных денежных прасчетов и (или) расчетов с использованием платежных карт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</si>
  <si>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</si>
  <si>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</si>
  <si>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182 1 05 01040 01 0000 110</t>
  </si>
  <si>
    <t>182 1 05 01041 01 0000 110</t>
  </si>
  <si>
    <t>182 1 05 01042 01 0000 110</t>
  </si>
  <si>
    <t>000 1 16 28000 01 0000 140</t>
  </si>
  <si>
    <t>420 1 16 90040 04 0000 140</t>
  </si>
  <si>
    <t>000 1 16 21040 04 0000 140</t>
  </si>
  <si>
    <t>Денежные взыскания (штрафы) за нарушение законодательства в области охраны окружающей среды</t>
  </si>
  <si>
    <t>000 1 16 06000 01 0000 140</t>
  </si>
  <si>
    <t>Безвозмездные поступления от других бюджетов системы Российской Федерации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</si>
  <si>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(бюджет автономного округа)</t>
  </si>
  <si>
    <t>- бюджет автономного округа</t>
  </si>
  <si>
    <t>- федеральный бюджет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</si>
  <si>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 (бюджет автономного округа)</t>
  </si>
  <si>
    <t xml:space="preserve"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(бюджет автономного округа)  </t>
  </si>
  <si>
    <t>170 1 16 90040 04 0000 140</t>
  </si>
  <si>
    <t>Государственная пошлина за выдачу разрешения на установку рекламной конструкции, администрируемая Управлением архитектуры и градостроительства администрации города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</si>
  <si>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</si>
  <si>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 xml:space="preserve">Субвенции бюджетам городских округов на ежемесячное денежное вознаграждение за классное руководство </t>
  </si>
  <si>
    <t>Налог, взимаемый с налогоплательщиков, выбравших в качестве объекта налоообложения доходы, уменьшенные на величину расходов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</si>
  <si>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</si>
  <si>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Прочие межбюджетные трансферты, передаваемые бюджетам городских округов</t>
  </si>
  <si>
    <t>182 1 08 03010 01 0000 110</t>
  </si>
  <si>
    <t>- налагаемые Административной комиссией администрации города</t>
  </si>
  <si>
    <t>Прочие субсидии бюджетам городских округов</t>
  </si>
  <si>
    <t xml:space="preserve">Субвенции бюджетам городских округов на государственную регистрацию актов гражданского состояния </t>
  </si>
  <si>
    <t>- налагаемые Департаментом образования администрации города</t>
  </si>
  <si>
    <t>аренда земельных участков по договорам аренды</t>
  </si>
  <si>
    <t>продажа права аренды земельных участков</t>
  </si>
  <si>
    <t>продажа права на заключение договоров аренды земельного участка</t>
  </si>
  <si>
    <t xml:space="preserve"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 </t>
  </si>
  <si>
    <t xml:space="preserve">Денежные взыскания (штрафы) за нарушение законодательства об охране и использовании животного мира </t>
  </si>
  <si>
    <t>000 1 16 25050 01 0000 140</t>
  </si>
  <si>
    <t>182 1 05 01020 01 0000 110</t>
  </si>
  <si>
    <t>040 2 02 04025 04 0000 151</t>
  </si>
  <si>
    <t>- на реализацию подпрограммы "Музейное дело" программы "Культура Югры" на 2011-2013 годы и на период до 2015 года</t>
  </si>
  <si>
    <t>- Департамент образования и молодежной политики ХМАО-Югры</t>
  </si>
  <si>
    <t>- Департамент культуры ХМАО-Югры</t>
  </si>
  <si>
    <t>182 1 05 01011 01 0000 110</t>
  </si>
  <si>
    <t>182 1 05 01012 01 0000 110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</si>
  <si>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</si>
  <si>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</si>
  <si>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182 1 05 01021 01 0000 110</t>
  </si>
  <si>
    <t>182 1 05 01022 01 0000 110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</si>
  <si>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</si>
  <si>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182 1 05 01050 01 0000 110</t>
  </si>
  <si>
    <t>Единый налог на вмененный доход для отдельных видов деятельности (за налоговые периоды, истекшие до 1 января 2011 года)</t>
  </si>
  <si>
    <t>182 1 05 02010 02 0000 110</t>
  </si>
  <si>
    <t>182 1 05 02020 02 0000 110</t>
  </si>
  <si>
    <t>Единый сельскохозяйственный налог (за налоговые периоды, истекшие до 1 января 2011 года)</t>
  </si>
  <si>
    <t>182 1 05 03010 01 0000 110</t>
  </si>
  <si>
    <t>182 1 05 03020 01 0000 110</t>
  </si>
  <si>
    <t>ИСПОЛНЕНИЕ</t>
  </si>
  <si>
    <t>бюджета города Нижневартовска по доходам</t>
  </si>
  <si>
    <t>тыс. рублей</t>
  </si>
  <si>
    <t>040 1 08 07150 01 0000 110</t>
  </si>
  <si>
    <t>040 1 11 01040 04 0000 120</t>
  </si>
  <si>
    <t>040 1 11 05034 04 0000 120</t>
  </si>
  <si>
    <t>040 1 11 05034 04 0220 120</t>
  </si>
  <si>
    <t>040 1 11 05034 04 0294 120</t>
  </si>
  <si>
    <t>040 1 11 05034 04 0295 120</t>
  </si>
  <si>
    <t>040 1 11 05034 04 0296 120</t>
  </si>
  <si>
    <t>040 1 11 07014 04 0000 120</t>
  </si>
  <si>
    <t>040 1 11 09044 04 0290 120</t>
  </si>
  <si>
    <t>048 1 12 01000 01 0000 120</t>
  </si>
  <si>
    <t>040 1 14 01040 04 0000 410</t>
  </si>
  <si>
    <t>040 1 14 01040 04 0297 410</t>
  </si>
  <si>
    <t>040 1 14 01040 04 0298 410</t>
  </si>
  <si>
    <t>040 1 14 01040 04 0299 410</t>
  </si>
  <si>
    <t>040 1 14 06012 04 0000 430</t>
  </si>
  <si>
    <t>040 1 16 90040 04 0230 140</t>
  </si>
  <si>
    <t>040 1 16 90040 04 0280 140</t>
  </si>
  <si>
    <t>040 1 16 90040 04 0310 140</t>
  </si>
  <si>
    <t>040 1 17 01040 04 0000 180</t>
  </si>
  <si>
    <t>040 1 08 07083 01 0000 110</t>
  </si>
  <si>
    <t>040 1 11 05012 04 0000 120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</si>
  <si>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</si>
  <si>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040 1 14 02043 04 0290 410</t>
  </si>
  <si>
    <t>040 2 18 04030 04 0000 180</t>
  </si>
  <si>
    <t>% исполнения к утверждённому плану 2012 года</t>
  </si>
  <si>
    <t>Утверждено по бюджету на 2012год</t>
  </si>
  <si>
    <t xml:space="preserve">Земельный налог, взимаемый по ставкам, установленным в соответствии с подпунктом 1 пункта 1 ст.394 Налогового Кодекса РФ и применяемым к объектам налогообложения, расположенным в границах городских округов </t>
  </si>
  <si>
    <t xml:space="preserve">Земельный налог, взимаемый по ставкам, установленным в соответствии с подпунктом 2 пункта 1 ст.394 Налогового Кодекса РФ и применяемым к объектам налогообложения, расположенным в границах городских округов 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</si>
  <si>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РФ), администрируемая Межрайонной Инспекцией Федеральной налоговой службы России №6 по ХМАО - Югре   </t>
  </si>
  <si>
    <t>182 1 09 04052 04 0000 110</t>
  </si>
  <si>
    <t>182 1 09 07012 04 0000 110</t>
  </si>
  <si>
    <t>182 1 09 07032 04 0000 110</t>
  </si>
  <si>
    <t>Утверждено по бюджету на 2012 год</t>
  </si>
  <si>
    <t>% исполнения к утверждённому  плану 2012 года</t>
  </si>
  <si>
    <t>040 1 11 05012 04 0291 120</t>
  </si>
  <si>
    <t>040 1 11 05012 04 0292 120</t>
  </si>
  <si>
    <t>040 1 11 05012 04 0293 120</t>
  </si>
  <si>
    <t>040 1 13 01994 04 0000 130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</si>
  <si>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 бюджетных и автономных учреждений)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</si>
  <si>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</si>
  <si>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(по договорам социального найма)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</si>
  <si>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(аренда недвижимого имущества)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</si>
  <si>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(доходы по договорам коммерческого найма без права выкупа)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</si>
  <si>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(аренда движимого имущества)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</si>
  <si>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</si>
  <si>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доходы от оказания платных услуг (работ) получателями средств бюджетов городских округов</t>
  </si>
  <si>
    <t>040 1 13 02994 04 0000 130</t>
  </si>
  <si>
    <t>Прочие доходы от компенсации затрат бюджетов городских округов</t>
  </si>
  <si>
    <t>- Муниципальное казенное учреждение "Управление капитального строительства города Нижневартовска"</t>
  </si>
  <si>
    <t>040 1 13 01994 04 0340 130</t>
  </si>
  <si>
    <t>040 1 13 01994 04 0350 130</t>
  </si>
  <si>
    <t>040 1 13 01994 04 0360 130</t>
  </si>
  <si>
    <t>040 1 13 02994 04 0230 130</t>
  </si>
  <si>
    <t>040 1 13 02994 04 0260 130</t>
  </si>
  <si>
    <t xml:space="preserve">Денежные взыскания (штрафы) за административные правонарушения в области налогов и сборов, предусмотренные Кодексом РФ об административных правонарушениях   </t>
  </si>
  <si>
    <t>- налагаемые Межрайонной Инспекцией Федеральной налоговой службы России №6 по ХМАО- Югре</t>
  </si>
  <si>
    <t>- налагаемые Управлением Федеральной службы по надзору в сфере защиты прав потребителей и благополучия человека по ХМАО - Югре</t>
  </si>
  <si>
    <t>- налагаемые Управлением Министерства внутренних дел  ХМАО - Югры</t>
  </si>
  <si>
    <t>000 1 16 25030 01 0000 140</t>
  </si>
  <si>
    <t>530 1 16 25030 01 0000 140</t>
  </si>
  <si>
    <t>Денежные взыскания (штрафы) за нарушение законодательства РФ о размещении заказов на поставки товаров, выполнение работ, оказание услуг для нужд городских округов</t>
  </si>
  <si>
    <t>600 1 16 33040 04 0000 140</t>
  </si>
  <si>
    <t xml:space="preserve">  -налагаемые Северо-Уральским управлением Федеральной службы по экологическому, технологическому и атомному надзору</t>
  </si>
  <si>
    <t>01.04.09</t>
  </si>
  <si>
    <t>01.04.05</t>
  </si>
  <si>
    <t>01.04.07</t>
  </si>
  <si>
    <t xml:space="preserve">  -на реализацию подпрограммы ""Развитие материально- технической базы  сферы  образования"" программы  ""Новая школа Югры"" на 2010-2013 годы." и до 2015 года</t>
  </si>
  <si>
    <r>
      <rPr>
        <i/>
        <sz val="12"/>
        <rFont val="Times New Roman"/>
        <family val="1"/>
        <charset val="204"/>
      </rPr>
      <t xml:space="preserve">  - на реализацию подпрограммы ""Библиотечное дело"" программы ""Культура Югры"" на 2011-2013 годы и на период до 2015 года." </t>
    </r>
    <r>
      <rPr>
        <sz val="14"/>
        <rFont val="Times New Roman"/>
        <family val="1"/>
        <charset val="204"/>
      </rPr>
      <t xml:space="preserve">
</t>
    </r>
  </si>
  <si>
    <t>01.04.02</t>
  </si>
  <si>
    <t>01.04.03</t>
  </si>
  <si>
    <t>01.04.06</t>
  </si>
  <si>
    <t>на развитие общественной инфраструктуры и реализацию приоритетных направлений развития муниципальных образований</t>
  </si>
  <si>
    <t>01.04.08</t>
  </si>
  <si>
    <t>01.02.03</t>
  </si>
  <si>
    <t>Субвенции на организацию отдыха и оздоровления детей</t>
  </si>
  <si>
    <t>01.02.02</t>
  </si>
  <si>
    <t>01.02.04</t>
  </si>
  <si>
    <t>01.02.05</t>
  </si>
  <si>
    <t xml:space="preserve">На пред-е доп. мер соц.под-ки детям-сиротам и детям, оставшимся без попечения родителей, а также лицам из числа детей-сирот и детей, оставшихся без попеч-я род-лей, усын-лям, приемным род-лям, патронатным восп-лям и восп-лям дет.домов сем-го типа </t>
  </si>
  <si>
    <t>01.02.07</t>
  </si>
  <si>
    <t>01.02.12</t>
  </si>
  <si>
    <t>01.02.13</t>
  </si>
  <si>
    <t>01.02.14</t>
  </si>
  <si>
    <t>01.02.15</t>
  </si>
  <si>
    <t>01.02.16</t>
  </si>
  <si>
    <t>01.02.17</t>
  </si>
  <si>
    <t>01.02.18</t>
  </si>
  <si>
    <t>01.02.19</t>
  </si>
  <si>
    <t>01.02.23</t>
  </si>
  <si>
    <t>Субвенции по информационному обеспечению общеобразовательных учреждений</t>
  </si>
  <si>
    <t>01.02.21</t>
  </si>
  <si>
    <t>01.02.20 и 01.02.24</t>
  </si>
  <si>
    <t xml:space="preserve">- бюджет автономного округа </t>
  </si>
  <si>
    <t>01.02.09 и 01.02.10</t>
  </si>
  <si>
    <t>01.03.05</t>
  </si>
  <si>
    <t>01.02.11</t>
  </si>
  <si>
    <t>01.03.04</t>
  </si>
  <si>
    <t>01.02.26</t>
  </si>
  <si>
    <t>040 2 02 03077 04 0000 151</t>
  </si>
  <si>
    <t xml:space="preserve"> - федеральный бюджет</t>
  </si>
  <si>
    <t>01.03.01</t>
  </si>
  <si>
    <t>01.02.01</t>
  </si>
  <si>
    <t xml:space="preserve"> - бюджет автономного округа</t>
  </si>
  <si>
    <t>01.02.08</t>
  </si>
  <si>
    <t>01.07.09</t>
  </si>
  <si>
    <t>01.07.01</t>
  </si>
  <si>
    <t>- Департамент труда и занятости населения ХМАО</t>
  </si>
  <si>
    <t>01.07.03</t>
  </si>
  <si>
    <t>01.07.11</t>
  </si>
  <si>
    <t>Денежные взыскания (штрафы) за нарушение законодательства о налогах и сборах, предусмотренные ст. 116, 118, 119.1, пунктами 1 и 2 статьи 120, ст. 125, 126, 128, 129, 129.1, 132, 133, 134, 135, 135.1 Налогового Кодекса РФ, а также штрафы, взыскание которых осуществляется на основании ранее действовавшей ст. 117 Налогового Кодекса РФ</t>
  </si>
  <si>
    <t xml:space="preserve"> - налагаемые Нижнеобским территориальным управлением Федерального агентства по рыболовству</t>
  </si>
  <si>
    <t xml:space="preserve">  - налагаемые Службой по контролю и надзору в сфере охраны окружающей среды, объектов животного мира и лесных отношений ХМАО-Югры</t>
  </si>
  <si>
    <t>- налагаемые Главным управлением Министерства Российской Федерации по делам гражданской обороны, чрезвычайным ситуациям и ликвидации стихийных бедствий по ХМАО - Югре</t>
  </si>
  <si>
    <t>- налагаемые Межрайонной Инспекцией Федеральной налоговой службы России №6 по ХМАО - Югре</t>
  </si>
  <si>
    <t>- налагаемые Управлением Федеральной миграционной службы по ХМАО  - Югре</t>
  </si>
  <si>
    <t>- налагаемые Службой жилищного контроля и строительного надзора ХМАО - Югры</t>
  </si>
  <si>
    <t>- налагаемые Ветеринарной службой ХМАО  - Югры</t>
  </si>
  <si>
    <t>-   налагаемые Департаментом экономического развития ХМАО - Югры</t>
  </si>
  <si>
    <t>040 1 16 90040 04 0220 140</t>
  </si>
  <si>
    <t>- налагаемые Департаментом жилищно-коммунального хозяйства администрации города</t>
  </si>
  <si>
    <t>040 1 16 90040 04 0250 140</t>
  </si>
  <si>
    <t>040 1 13 02994 04 0020 130</t>
  </si>
  <si>
    <t>040 1 13 02994 04 0240 130</t>
  </si>
  <si>
    <t>040 1 13 02994 04 0250 130</t>
  </si>
  <si>
    <t xml:space="preserve"> -  Управление по физической культуре и спорту администрации города</t>
  </si>
  <si>
    <t xml:space="preserve">   -  Департамент здравоохранения администрации города</t>
  </si>
  <si>
    <t xml:space="preserve">   -   Департамент образования администрации города</t>
  </si>
  <si>
    <t xml:space="preserve">   -  Управление культуры администрации города</t>
  </si>
  <si>
    <t xml:space="preserve">   -   Администрация города Нижневартовска</t>
  </si>
  <si>
    <t>040 1 13 02994 04 0270 130</t>
  </si>
  <si>
    <t>040 1 13 02994 04 0320 130</t>
  </si>
  <si>
    <t>040 1 13 02994 04 0350 130</t>
  </si>
  <si>
    <t>040 1 13 02994 04 0360 130</t>
  </si>
  <si>
    <t xml:space="preserve">   -  Управление по природопользования и экологии администрации города</t>
  </si>
  <si>
    <t xml:space="preserve"> - Муниципальное казенное учреждение "Управление материально-техническому обеспечению деятельности органов местного самоуправления города Нижневартовска"</t>
  </si>
  <si>
    <t xml:space="preserve"> -   Муниципальное казенное учреждение "Управление по материально-техническому обеспечению органов местного самоуправления города Нижневартовска"</t>
  </si>
  <si>
    <t xml:space="preserve"> -   Управление по опеке и попечительству администрации города</t>
  </si>
  <si>
    <t>- налагаемые Нижнеобским территориальным управлением Федерального агентства по рыболовству</t>
  </si>
  <si>
    <t>Денежные взыскания (штрафы) за нарушение законодательства о недрах</t>
  </si>
  <si>
    <t>040 1 17 05040 04 0000 180</t>
  </si>
  <si>
    <t>Прочие неналоговые доходы  бюджетов городских округов</t>
  </si>
  <si>
    <t>01.07.12</t>
  </si>
  <si>
    <t>01.04.12</t>
  </si>
  <si>
    <t>01.04.10</t>
  </si>
  <si>
    <t>- на реализацию программы "Энергосбережение и повышение энергетической эффективности на 2011-2015 годы и на перспективу до 2020 года"</t>
  </si>
  <si>
    <t>01.03.08</t>
  </si>
  <si>
    <t xml:space="preserve">- федеральный бюджет </t>
  </si>
  <si>
    <t>182 1 01 02010 01 0000 110</t>
  </si>
  <si>
    <t>182 1 01 02020 01 0000 110</t>
  </si>
  <si>
    <t>182 1 01 02030 01 0000 110</t>
  </si>
  <si>
    <t>182 1 01 02040 01 0000 110</t>
  </si>
  <si>
    <t>-  налагаемые Службой по контролю и надзору в сфере охраны окружающей среды, объектов животного мира и лесных отношений ХМАО-Югры</t>
  </si>
  <si>
    <t>040 111 09044 04 0290 120</t>
  </si>
  <si>
    <t>040 2 02 04012 04 0000 151</t>
  </si>
  <si>
    <t>Прочие налоги и сборы, мобилизируемые на территориях городских округов</t>
  </si>
  <si>
    <t>182 1 09 07052 04 0000 110</t>
  </si>
  <si>
    <t>Плата за выбросы загрязняющих веществ в атмосферный воздух стационарными объектами</t>
  </si>
  <si>
    <t>048 1 12 01010 01 6000 120</t>
  </si>
  <si>
    <t>048 1 12 01020 01 6000 120</t>
  </si>
  <si>
    <t>Плата за выбросы загрязняющих веществ в атмосферный воздух передвижными объектами</t>
  </si>
  <si>
    <t>048 1 12 01030 01 6000 120</t>
  </si>
  <si>
    <t>048 1 12 01040 01 6000 120</t>
  </si>
  <si>
    <t>Плата за размещение отходов производства и потребления</t>
  </si>
  <si>
    <t>Плата за иные виды негативного воздействия на окружающую среду</t>
  </si>
  <si>
    <t>048 112 01000 01 000 120</t>
  </si>
  <si>
    <t>048 1 12 01050 01 0000 120</t>
  </si>
  <si>
    <t xml:space="preserve">  - Департамент муниципальной собственности и земельных ресурсов администрации города</t>
  </si>
  <si>
    <t>040 1 13 02994 04 0290 130</t>
  </si>
  <si>
    <t>040 1 13 02994 04 0330 130</t>
  </si>
  <si>
    <t xml:space="preserve">   - Управление по социальной и молодежной политике администрации города</t>
  </si>
  <si>
    <t>040 1 16 90040 04 0260 140</t>
  </si>
  <si>
    <t xml:space="preserve">  -  налагаемые Департаментом здравоохранения администрации города</t>
  </si>
  <si>
    <t xml:space="preserve">  -  налагаемые Управлением федеральной антимонопольной службы по ХМАО-Югре</t>
  </si>
  <si>
    <t>000 1 16 33040 04 0000 140</t>
  </si>
  <si>
    <t>01.04.13 и 01.04.14</t>
  </si>
  <si>
    <t>Дотации бюджетам городских округов на поддержку мер по обеспечению сбалансированности бюджетов</t>
  </si>
  <si>
    <t xml:space="preserve"> Минимальный  налог, зачисляемый в  бюджеты субъектов Российской Федерации</t>
  </si>
  <si>
    <t>Налог, взимаемый с налогоплательщиков, выбравших в качестве объекта   налогообложения доходы</t>
  </si>
  <si>
    <t xml:space="preserve">на  реализацию подпрограммы ""Автомобильные дороги""  программы "" Развитие транспортной системы  ХМАО-Югры"" на 2011-2013 годы." </t>
  </si>
  <si>
    <t>040 1 16 23041 04 0000 140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</si>
  <si>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</si>
  <si>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</si>
  <si>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- налагаемые Администрацией города</t>
  </si>
  <si>
    <t>040 1 16 90040 04 0240 140</t>
  </si>
  <si>
    <t xml:space="preserve"> - налагаемые Управлением культуры администрации города</t>
  </si>
  <si>
    <t>- налагаемые Управлением по природопользованию и экологии администрации города</t>
  </si>
  <si>
    <t>040 1 16 90040 04 0290 140</t>
  </si>
  <si>
    <t>01.07.16</t>
  </si>
  <si>
    <t xml:space="preserve"> - Департамент экономического развития ХМАО-Югры </t>
  </si>
  <si>
    <t>040 1 13 02994 04 0220 130</t>
  </si>
  <si>
    <t>040 1 16 90040 04 0020 140</t>
  </si>
  <si>
    <t>040 1 16 90040 04 0360 140</t>
  </si>
  <si>
    <t>01.04.15</t>
  </si>
  <si>
    <t>01.05.02</t>
  </si>
  <si>
    <t xml:space="preserve"> на реализацию программы "Снижение рисков и смягчение последствий чрезвычайных ситуаций природного и техногенного характера в Ханты-Мансийском автономном округе-Югре на 2012-2014 годы и на период до 2016 года"</t>
  </si>
  <si>
    <t>01.04.18</t>
  </si>
  <si>
    <t>01.07.04</t>
  </si>
  <si>
    <t xml:space="preserve">   -   Департамент ЖКХ администрации города</t>
  </si>
  <si>
    <t xml:space="preserve">  - налагаемые МКУ «Управлением материально – технического обеспечения деятельности органов местного самоуправления города Нижневартовска»</t>
  </si>
  <si>
    <t>Дотации бюджетам городских округов на выравнивание бюджетной обеспеченности бюджетов</t>
  </si>
  <si>
    <t>Департамент физической культуры и спорта Ханты-Мансийского автономного округа-Югры</t>
  </si>
  <si>
    <t xml:space="preserve">    - на реализацию программы "Модернизация и реформирование жилищно-коммунального комплекса ХМАО-Югры" на 2011-2013 годы и до 2015 года(капитальное строительство) и (реконструкция водозабора на р.Вах)</t>
  </si>
  <si>
    <t>01.04.04 и 01.04.17</t>
  </si>
  <si>
    <t>040 2 02 02150 04 0000 151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</si>
  <si>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</si>
  <si>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01.04.23</t>
  </si>
  <si>
    <t>01.04.16</t>
  </si>
  <si>
    <t>01.04.11 и 01.04.22</t>
  </si>
  <si>
    <t>040 1 13 02994 04 0210 130</t>
  </si>
  <si>
    <t xml:space="preserve">   -   Департамент финансов администрации города</t>
  </si>
  <si>
    <t>040 1 14 02043 04 0290 440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</si>
  <si>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</si>
  <si>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040 1 16 90040 04 0350 140</t>
  </si>
  <si>
    <t xml:space="preserve">   -   налагаемые Муниципальным казенным учреждением "Управление капитального строительства города Нижневартовска"</t>
  </si>
  <si>
    <t>000 1 16 30030 01 0000 140</t>
  </si>
  <si>
    <t>000 1 16 90040 04 0000 140</t>
  </si>
  <si>
    <t>Прочие денежные взыскания (штрафы) за правонарушения в области дорожного движения</t>
  </si>
  <si>
    <t xml:space="preserve">  - налагаемые Управлением внутренних дел  по ХМАО  - Югре</t>
  </si>
  <si>
    <t>налагаемые Межрегиональным управлением государственного автодорожного надзора по ХМАО- Югре и ЯНАО Федеральной службы по надзору в сфере транспорта</t>
  </si>
  <si>
    <t xml:space="preserve">   - налагаемые Межрегиональным управлением государственного автодорожного надзора по ХМАО- Югре и ЯНАО Федеральной службы по надзору в сфере транспорта</t>
  </si>
  <si>
    <t>на поощрение за достижение наиболее высоких показателей качества организации и осуществления бюджетного процесса в муниципальных образованиях</t>
  </si>
  <si>
    <t>040 1 16 23041 04 0290 140</t>
  </si>
  <si>
    <t>040 1 16 23041 04 0350 140</t>
  </si>
  <si>
    <t>налагаемые Департаментом муниципальной собтвенности и земельных ресурсов администрации города</t>
  </si>
  <si>
    <t xml:space="preserve">  - налагаемые Департаментом муниципальной собтвенности и земельных ресурсов администрации города</t>
  </si>
  <si>
    <t xml:space="preserve">  -  налагаемые Муниципальным казенным учреждением "Управление капитального строительства города Нижневартовска"</t>
  </si>
  <si>
    <t>040 1 16 90040 04 0330 140</t>
  </si>
  <si>
    <t xml:space="preserve">    - налагаемые Управлением по социальной и молодежной политике администрации города</t>
  </si>
  <si>
    <t>130 1 16 90040 04 0000 140</t>
  </si>
  <si>
    <t xml:space="preserve">   -  налагаемые Службой по контролю и надзору в сфере здравоохранения Ханты-Мансийского автономного округа-Югры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</si>
  <si>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 (01.03.07 и 01.02.25)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</si>
  <si>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</si>
  <si>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</si>
  <si>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Платежи при использовании природными ресурсами</t>
  </si>
  <si>
    <t>Доходы от оказания платных услуг (работ) и компенсации затрат государства</t>
  </si>
  <si>
    <t>040 2 02 00000 00 0000 000</t>
  </si>
  <si>
    <t>040 2 07 04000 04 0000 180</t>
  </si>
  <si>
    <t>000 2 07 00000 00 0000 180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</si>
  <si>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</si>
  <si>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</si>
  <si>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Доходы бюджетов городских округов от возврата иными организациями остатков субсидий прошлых лет   </t>
  </si>
  <si>
    <t>000 2 19 00000 00 0000 000</t>
  </si>
  <si>
    <t>040 2 19 04000 04 0000 151</t>
  </si>
  <si>
    <t xml:space="preserve">Платежи при использовании природными ресурсами </t>
  </si>
  <si>
    <t>Доходы от оказания платных услуг  (работ) и компенсации затрат государства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</si>
  <si>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</si>
  <si>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 года №5-ФЗ "О ветеранах" и от 24 ноября 1995 года №181-ФЗ "О социальной защите инвалидов в Российской Федерации" (федеральный бюджет)</t>
  </si>
  <si>
    <t>Субвенции бюджетам городских округов на обеспечение жильем граждан, уволенных с военной службы (службы), и приравненных к ним лиц (федеральный бюджет)</t>
  </si>
  <si>
    <t>Межбюджетные трансферты, передаваемые бюджетам городских округов  на комплектование книжных фондов библиотек муниципальных образований (федеральный бюджет)</t>
  </si>
  <si>
    <t>- На реализацию наказов избирателей депутатам  Думы ХМАО</t>
  </si>
  <si>
    <t xml:space="preserve">Доходы бюджетов городских округов от возврата иными организациями остатков субсидий прошлых лет  </t>
  </si>
  <si>
    <t>040 2 02 01000 00 0000 150</t>
  </si>
  <si>
    <t>040 2 02 02000 00 0000 150</t>
  </si>
  <si>
    <t>040 2 02 03000 00 0000 150</t>
  </si>
  <si>
    <t>040 2 02 04000 00 0000 150</t>
  </si>
  <si>
    <t>040 2 02 01001 04 0000 150</t>
  </si>
  <si>
    <t>040 2 02 01003 04 0000 150</t>
  </si>
  <si>
    <t>040 2 02 01999 04 0000 150</t>
  </si>
  <si>
    <t>182 1 16 03010 01 6000 140</t>
  </si>
  <si>
    <t>182 1 16 03030 01 6000 140</t>
  </si>
  <si>
    <t>182 1 16 06000 01 6000 140</t>
  </si>
  <si>
    <t>141 1 16 08000 01 6000 140</t>
  </si>
  <si>
    <t>188 1 16 21040 04 6000 140</t>
  </si>
  <si>
    <t>048  1 16 25010 01 6000 140</t>
  </si>
  <si>
    <t>076 1 16 25030 01 6000 140</t>
  </si>
  <si>
    <t>048 1 16 25050 01 6000 140</t>
  </si>
  <si>
    <t>321 1 16 25060 01 6000 140</t>
  </si>
  <si>
    <t>141 1 16 28000 01 6000 140</t>
  </si>
  <si>
    <t>188 1 16 30013 01 6000 140</t>
  </si>
  <si>
    <r>
      <rPr>
        <i/>
        <sz val="12"/>
        <color theme="1"/>
        <rFont val="Times New Roman"/>
        <family val="1"/>
        <charset val="204"/>
      </rPr>
      <t>188</t>
    </r>
    <r>
      <rPr>
        <i/>
        <sz val="12"/>
        <rFont val="Times New Roman"/>
        <family val="1"/>
        <charset val="204"/>
      </rPr>
      <t xml:space="preserve"> 1 16 30030 01 6000 140</t>
    </r>
  </si>
  <si>
    <r>
      <rPr>
        <i/>
        <sz val="12"/>
        <color theme="1"/>
        <rFont val="Times New Roman"/>
        <family val="1"/>
        <charset val="204"/>
      </rPr>
      <t xml:space="preserve">106 </t>
    </r>
    <r>
      <rPr>
        <i/>
        <sz val="12"/>
        <rFont val="Times New Roman"/>
        <family val="1"/>
        <charset val="204"/>
      </rPr>
      <t>1 16 30030 01 6000 140</t>
    </r>
  </si>
  <si>
    <t>161 1 16 33040 04 6000 140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</si>
  <si>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</si>
  <si>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188 1 16 43000 01 6000 140</t>
  </si>
  <si>
    <t>076 1 16 90040 04 6000 140</t>
  </si>
  <si>
    <t>106 1 16 90040 04 6000 140</t>
  </si>
  <si>
    <t>141 1 16 90040 04 6000 140</t>
  </si>
  <si>
    <t>182 1 16 90040 04 6000 140</t>
  </si>
  <si>
    <t>188 1 16 90040 04 6000 140</t>
  </si>
  <si>
    <t>192 1 16 90040 04 6000 140</t>
  </si>
  <si>
    <t>321 1 16 90040 04 6000 140</t>
  </si>
  <si>
    <t>498 1 16 90040 04 6000 140</t>
  </si>
  <si>
    <t>- на реализацию подпрограммы "Инновационное развитие образования" программы "Новая школа Югры" на 2010-2013 годыи на период до 2015 года</t>
  </si>
  <si>
    <t>- на реализацию подпрограммы "Обеспечение комплексной безопасности и комфортных условий образовательного процесса" программы "Новая школа Югры" на 2010-2013 годы и на период до 2015 года</t>
  </si>
  <si>
    <t>- на оплату стоимости питания детям школьного возраста в оздоровительных лагерях с дневным пребыванием детей</t>
  </si>
  <si>
    <t>- на реализацию подпрограммы "Профилактика правонарушений программы "Профилактика правонарушений B178в Ханты-Мансийском автономном округе - Югре на 2011- 2013 годы"</t>
  </si>
  <si>
    <t xml:space="preserve">- на реализацию подпрограммы "Стимулирование жилищного строительства" программы "Содействие развитию жилищного строительства на 2011-2013 годы и на период до 2015 года" </t>
  </si>
  <si>
    <t xml:space="preserve">на реализацию программы "Развитие физической культуры и спорта в Ханты-Мансийском автономном округе - Югре" на 2011-2013 годы </t>
  </si>
  <si>
    <t>на реализацию программы "Модернизация и реформирование жилищно-коммунального комплекса ХМАО-Югры" на 2011-2013 годы и на период до 2015 года</t>
  </si>
  <si>
    <t xml:space="preserve">- на софинансирование объектов капитального строительства государственной собственности и муниципальной собственности </t>
  </si>
  <si>
    <t>Субвенции бюджетам городских округов на выполнение передаваемых полномочий субъектов РФ (бюджет автономного округа)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</si>
  <si>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РФ (федеральный бюджет)</t>
  </si>
  <si>
    <t>040 2 02 03026 04 0000 151</t>
  </si>
  <si>
    <t>040 2 02 03029 04 0000 151</t>
  </si>
  <si>
    <t>Субвенции  на участие в реализации программы "Развитие агропромышленного комплекса ХМАО - Югры в 2011-2013 годах и на период до 2015 года"</t>
  </si>
  <si>
    <t>Субвенции местным бюджетам  на организацию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</t>
  </si>
  <si>
    <t>040 2 02 03003 04 0000 151</t>
  </si>
  <si>
    <t>040 2 02 03007 04 0000 151</t>
  </si>
  <si>
    <t>040 2 02 03020 04 0000 151</t>
  </si>
  <si>
    <t>040 2 02 03021 04 0000 151</t>
  </si>
  <si>
    <t>040 2 02 03024 04 0000 151</t>
  </si>
  <si>
    <t xml:space="preserve"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 </t>
  </si>
  <si>
    <t xml:space="preserve">- на реализацию программы "Развитие физической культуры и спорта в ХМАО-Югре" на 2011-2013 годы и до 2015 года B171(капитальное строительство) </t>
  </si>
  <si>
    <t>Субвенции местным бюджетам на осуществление полномочий по хранению, комплектованию, учету и использованию архивных документов, относящихся к государственной собственности автономного округа</t>
  </si>
  <si>
    <t xml:space="preserve">Субвенции местным бюджетам на осуществление полномочий в области этилового спирта, алкогольной продукции и спиртосодержащей продукции </t>
  </si>
  <si>
    <t>Субвенции местным бюджетам на осуществление полномочий по государственному управлению охраной труда.</t>
  </si>
  <si>
    <t>040 2 02 02008 04 0000 151</t>
  </si>
  <si>
    <t>Субсидии бюджетам городских округов на обеспечение жильем молодых семей</t>
  </si>
  <si>
    <t>Субвенции местным бюджетам в рамках подпрограммы "Обеспечение жильем граждан, выезжающих из ХМАО -Югры Улучшение жилищных условий отдельных категорий граждан"  программы "Улучшение жилищных условий населения ХМАО-Югры" на 2011-2013 годы и на период до 2015 года (исп-е отд. гос.полномочий по постановке на учет и учету граждан, имеющих право на получение жилищ.субсидий, выезжающих из районов Крайнего Севера и прирав-х к ним местностей)</t>
  </si>
  <si>
    <t>040 2 02 02051 04 0000 151</t>
  </si>
  <si>
    <t xml:space="preserve">Субсидии бюджетам городских округов на реализацию федеральных целевых программ    </t>
  </si>
  <si>
    <t xml:space="preserve"> - благоустройство дворовых территорий</t>
  </si>
  <si>
    <t xml:space="preserve">Субвенции по предоставлению учащимся муниципальных общеобразовательных учреждений завтраков и обедов </t>
  </si>
  <si>
    <t xml:space="preserve">Субвенции местным бюджетам на реализацию основных общеобразовательных программ  </t>
  </si>
  <si>
    <t xml:space="preserve">Субвенции местным бюджетам на бесплатное изготовление и ремонт зубных протезов </t>
  </si>
  <si>
    <t xml:space="preserve">Субвенции местным бюджетам на создание и обеспечение деятельности административных комиссий </t>
  </si>
  <si>
    <t xml:space="preserve">Субвенции местным бюджетам на образование и организацию деятельности комиссий по делам несовершеннолетних и защите их прав </t>
  </si>
  <si>
    <t xml:space="preserve">Субвенции местным бюджетам на обеспечение бесплатными молочными продуктами питания детей до трех лет </t>
  </si>
  <si>
    <t xml:space="preserve">Субвенции местным бюджетам на обеспечение прав детей - инвалидов и семей, имеющих детей - инвалидов на образование, воспитание и обучение </t>
  </si>
  <si>
    <t xml:space="preserve">Субвенции местным бюджетам на осуществление деятельности по опеке и попечительству </t>
  </si>
  <si>
    <t>040 1 13 01994 04 0300 130</t>
  </si>
  <si>
    <t xml:space="preserve">  - Управление архитектуры и градостроительства администрации города</t>
  </si>
  <si>
    <t>040 1 13 02994 04 0340 130</t>
  </si>
  <si>
    <t>040 1 14 06024 04 0000 430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</si>
  <si>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 бюджетных и автономных учреждений)</t>
  </si>
  <si>
    <t>076 116 35020 04 000 140</t>
  </si>
  <si>
    <t>177 1 16 90040 04 0000 140</t>
  </si>
  <si>
    <r>
      <rPr>
        <sz val="14"/>
        <rFont val="Times New Roman"/>
        <family val="1"/>
        <charset val="204"/>
      </rPr>
      <t xml:space="preserve">Суммы по искам о возмещении вреда, причиненного окружающей среде, подлежащие зачислению в бюджеты городских округов </t>
    </r>
    <r>
      <rPr>
        <i/>
        <sz val="14"/>
        <rFont val="Times New Roman"/>
        <family val="1"/>
        <charset val="204"/>
      </rPr>
      <t xml:space="preserve">  </t>
    </r>
  </si>
  <si>
    <t>01.02.60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</si>
  <si>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   
</t>
  </si>
  <si>
    <t xml:space="preserve"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   
</t>
  </si>
  <si>
    <t xml:space="preserve">040 1 14 02042 04 0290 410 </t>
  </si>
  <si>
    <t>Плата за сбросы загрязняющих веществ в водные объекты</t>
  </si>
  <si>
    <t>01.07.18</t>
  </si>
  <si>
    <t xml:space="preserve"> -на реализацию программы "Профилактика правонарушений в ХМАО_Югре на 2011-2013 годы"(Департамент образования и молод политики)</t>
  </si>
  <si>
    <t xml:space="preserve">040 1 14 02042 04 0290 440 </t>
  </si>
  <si>
    <t>188 1 16 08000 01 6000 140</t>
  </si>
  <si>
    <t>040 1 14 02042 04 0290 410</t>
  </si>
  <si>
    <t>040  1 14 02042 04 0290 440</t>
  </si>
  <si>
    <t>на 01.11.2012 года</t>
  </si>
  <si>
    <t>Фактическое исполнение на 01.11.2012 года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</si>
  <si>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 года №5-ФЗ "О ветеранах", в соответствии с Указом Президента РФ от 7 мая 2008 года №714 "Об обеспечении жильем ветеранов ВОВ 1941 - 1945 годов"</t>
  </si>
  <si>
    <t>01.04.20</t>
  </si>
  <si>
    <t xml:space="preserve">на реализацию подпрограммы"Градостроительная деятельность" программы "Содействие развитию жилищного строительства" </t>
  </si>
  <si>
    <t>01.04.24</t>
  </si>
  <si>
    <t>на реализацию программы "Информационное общество-Югра" на 2011-2013 годы</t>
  </si>
  <si>
    <t>на реализацию подпрограммы "Улучшение жилищных условий отдельных категорий граждан" программы "Улучшение жилищных условий населения Ханты-мансийского автономного округа - Югры на 2011-2013 годы и на период до 2015 года"</t>
  </si>
  <si>
    <t>01.04.26</t>
  </si>
  <si>
    <t>01.04.25</t>
  </si>
  <si>
    <t>01.05.05</t>
  </si>
  <si>
    <t>на возмещение части затрат в связи с предоставлением учителям общеобразовательных учреждений ипотечного кредита( из бюджета автономного округа)</t>
  </si>
  <si>
    <t>на возмещение части затрат в связи с предоставлением учителям общеобразовательных учреждений ипотечного кредита(из федерального бюджета)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</si>
  <si>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ст.227, 227.1 и 228 Налогового Кодекса РФ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</si>
  <si>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ст.227 Налогового Кодекса РФ</t>
  </si>
  <si>
    <t>Налог на доходы физических лиц с доходов, полученных физическими лицами в соответствии со ст. 228 Налогового Кодекса РФ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</si>
  <si>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ст.227.1 Налогового Кодекса РФ</t>
  </si>
  <si>
    <t>- Муниципальное казенное учреждение "Нижневартовская служба спасения"</t>
  </si>
  <si>
    <t>322 1 16 21040 04 6000 140</t>
  </si>
  <si>
    <t xml:space="preserve"> налагаемые Управлением Федеральной службы судебных приставов по ХМАО- Югре</t>
  </si>
  <si>
    <t>188 1 16 28000 01 6000 140</t>
  </si>
  <si>
    <t>410 1 16 90040 04 0000 140</t>
  </si>
  <si>
    <t>налагаемые Управлением Федеральной службы государственной регистрации, кадастра и картографии по ХМАО- Югре</t>
  </si>
  <si>
    <t>налагаемые Службой по  контролю и надзору в сфере образования ХМАО- Югры</t>
  </si>
  <si>
    <t xml:space="preserve">  -  Муниципальное казенное учреждение "Нижневартовская служба спасения"</t>
  </si>
  <si>
    <t>-   Муниципальное казенное учреждение "Управление капитального строительства города Нижневартовска"</t>
  </si>
  <si>
    <t xml:space="preserve">- на реализацию целевой программы автономного округа "Модернизация и реформирование жилищно-коммунального комплекса ХМАО-Югры" на 2011-2013 годы и на период до 2015 года </t>
  </si>
  <si>
    <t xml:space="preserve"> Исполнение бюджета</t>
  </si>
  <si>
    <t xml:space="preserve"> города Нижневартовска  по расходам  на 01.11.2012 года</t>
  </si>
  <si>
    <t>Наименование расходов</t>
  </si>
  <si>
    <t>Раздел</t>
  </si>
  <si>
    <t>Подраздел</t>
  </si>
  <si>
    <t>Уточненный план на год (тыс. рублей)</t>
  </si>
  <si>
    <t>Уточненный план на 9 месяцев (тыс. рублей)</t>
  </si>
  <si>
    <t>Исполнено на 01.11.2011 г. (тыс. рублей)</t>
  </si>
  <si>
    <t>% исп. к уточненному плану на год</t>
  </si>
  <si>
    <t>% исп. к уточненному плану на 9 месяцев</t>
  </si>
  <si>
    <t>Всего</t>
  </si>
  <si>
    <t>в том числе</t>
  </si>
  <si>
    <t xml:space="preserve">без капитального строительства </t>
  </si>
  <si>
    <t>капитальное строительство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</si>
  <si>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</si>
  <si>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</si>
  <si>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</si>
  <si>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</si>
  <si>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</si>
  <si>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</si>
  <si>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</si>
  <si>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</si>
  <si>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</si>
  <si>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</si>
  <si>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06</t>
  </si>
  <si>
    <t>Резервные фонды</t>
  </si>
  <si>
    <t>11</t>
  </si>
  <si>
    <t>Другие общегосударственные вопросы</t>
  </si>
  <si>
    <t>13</t>
  </si>
  <si>
    <t xml:space="preserve">НАЦИОНАЛЬНАЯ БЕЗОПАСНОСТЬ И ПРАВООХРАНИТЕЛЬНАЯ  ДЕЯТЕЛЬНОСТЬ </t>
  </si>
  <si>
    <t>03</t>
  </si>
  <si>
    <t>Органы юстиции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</si>
  <si>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</si>
  <si>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</si>
  <si>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</si>
  <si>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</si>
  <si>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</si>
  <si>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Общеэкономические вопросы</t>
  </si>
  <si>
    <t>Сельское хозяйство и рыболовство</t>
  </si>
  <si>
    <t>Транспорт</t>
  </si>
  <si>
    <t>08</t>
  </si>
  <si>
    <t>Дорожное хозяйство (дорожные фонды)</t>
  </si>
  <si>
    <t>Связь и информатика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</si>
  <si>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</si>
  <si>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</si>
  <si>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</si>
  <si>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</si>
  <si>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 xml:space="preserve">Жилищное хозяйство </t>
  </si>
  <si>
    <t>Коммунальное хозяйство</t>
  </si>
  <si>
    <t>Благоустройство</t>
  </si>
  <si>
    <t>Другие вопросы в области жилищно-коммунального-хозяйства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</si>
  <si>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</si>
  <si>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</si>
  <si>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</si>
  <si>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07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</si>
  <si>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</si>
  <si>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</si>
  <si>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</si>
  <si>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</si>
  <si>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 xml:space="preserve">КУЛЬТУРА И КИНЕМАТОГРАФИЯ </t>
  </si>
  <si>
    <t xml:space="preserve">Культура </t>
  </si>
  <si>
    <t xml:space="preserve">Другие вопросы в области культуры, кинематографии </t>
  </si>
  <si>
    <t xml:space="preserve">ЗДРАВООХРАНЕНИЕ 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</si>
  <si>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</si>
  <si>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</si>
  <si>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</si>
  <si>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</si>
  <si>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 xml:space="preserve">Санитарно-эпидемиологическое благополучие 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</si>
  <si>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</si>
  <si>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</si>
  <si>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</si>
  <si>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</si>
  <si>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</si>
  <si>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</si>
  <si>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</si>
  <si>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Физичекая культура</t>
  </si>
  <si>
    <t>Массовый спорт</t>
  </si>
  <si>
    <t>СРЕДСТВА МАССОВОЙ ИНФОРМАЦИИ</t>
  </si>
  <si>
    <t>Периодическая печать и издательства</t>
  </si>
  <si>
    <t>РАСХОДЫ  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</si>
</sst>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&quot;р.&quot;_-;\-* #,##0.00&quot;р.&quot;_-;_-* &quot;-&quot;??&quot;р.&quot;_-;_-@_-"/>
    <numFmt numFmtId="164" formatCode="0\.00\.0"/>
    <numFmt numFmtId="165" formatCode="#,##0.000"/>
    <numFmt numFmtId="166" formatCode="#,##0.00_ ;[Red]\-#,##0.00\ "/>
    <numFmt numFmtId="167" formatCode="#,##0.0_ ;[Red]\-#,##0.0\ "/>
    <numFmt numFmtId="168" formatCode="#,##0.0"/>
  </numFmts>
  <fonts count="35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</font>
    <font>
      <sz val="14"/>
      <name val="Times New Roman"/>
      <family val="1"/>
      <charset val="204"/>
    </font>
    <font>
      <b/>
      <sz val="14"/>
      <name val="Times New Roman"/>
      <family val="1"/>
    </font>
    <font>
      <b/>
      <i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name val="Arial Cyr"/>
      <charset val="204"/>
    </font>
    <font>
      <sz val="10"/>
      <name val="Arial Cyr"/>
      <charset val="204"/>
    </font>
    <font>
      <i/>
      <sz val="11"/>
      <name val="Times New Roman"/>
      <family val="1"/>
      <charset val="204"/>
    </font>
    <font>
      <i/>
      <sz val="12"/>
      <name val="Arial Cyr"/>
      <charset val="204"/>
    </font>
    <font>
      <i/>
      <sz val="10"/>
      <name val="Arial Cyr"/>
      <charset val="204"/>
    </font>
    <font>
      <sz val="14"/>
      <color indexed="8"/>
      <name val="Times New Roman"/>
      <family val="1"/>
      <charset val="204"/>
    </font>
    <font>
      <sz val="14"/>
      <name val="Arial Cyr"/>
      <charset val="204"/>
    </font>
    <font>
      <b/>
      <sz val="16"/>
      <name val="Times New Roman"/>
      <family val="1"/>
      <charset val="204"/>
    </font>
    <font>
      <b/>
      <sz val="13.5"/>
      <name val="Times New Roman"/>
      <family val="1"/>
      <charset val="204"/>
    </font>
    <font>
      <b/>
      <i/>
      <sz val="13.5"/>
      <name val="Times New Roman"/>
      <family val="1"/>
      <charset val="204"/>
    </font>
    <font>
      <sz val="13.5"/>
      <name val="Times New Roman"/>
      <family val="1"/>
      <charset val="204"/>
    </font>
    <font>
      <sz val="13.5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2"/>
      <color indexed="56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name val="Arial Cyr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2"/>
      <color indexed="10"/>
      <name val="Times New Roman Cyr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455">
    <xf numFmtId="0" fontId="0" fillId="0" borderId="0" xfId="0"/>
    <xf numFmtId="0" fontId="2" fillId="0" borderId="0" xfId="2" applyProtection="1">
      <protection hidden="1"/>
    </xf>
    <xf numFmtId="0" fontId="2" fillId="0" borderId="0" xfId="2"/>
    <xf numFmtId="0" fontId="6" fillId="0" borderId="0" xfId="2" applyFont="1" applyProtection="1">
      <protection hidden="1"/>
    </xf>
    <xf numFmtId="164" fontId="6" fillId="0" borderId="1" xfId="2" applyNumberFormat="1" applyFont="1" applyFill="1" applyBorder="1" applyAlignment="1" applyProtection="1">
      <alignment horizontal="right" vertical="center" wrapText="1"/>
      <protection hidden="1"/>
    </xf>
    <xf numFmtId="0" fontId="6" fillId="0" borderId="1" xfId="2" applyFont="1" applyBorder="1"/>
    <xf numFmtId="0" fontId="4" fillId="2" borderId="2" xfId="2" applyFont="1" applyFill="1" applyBorder="1"/>
    <xf numFmtId="1" fontId="4" fillId="2" borderId="2" xfId="0" applyNumberFormat="1" applyFont="1" applyFill="1" applyBorder="1" applyAlignment="1">
      <alignment horizontal="left" vertical="center" wrapText="1"/>
    </xf>
    <xf numFmtId="1" fontId="6" fillId="0" borderId="3" xfId="0" applyNumberFormat="1" applyFont="1" applyFill="1" applyBorder="1" applyAlignment="1">
      <alignment horizontal="justify" vertical="center" wrapText="1"/>
    </xf>
    <xf numFmtId="1" fontId="6" fillId="0" borderId="1" xfId="0" applyNumberFormat="1" applyFont="1" applyFill="1" applyBorder="1" applyAlignment="1">
      <alignment horizontal="justify" vertical="center" wrapText="1"/>
    </xf>
    <xf numFmtId="1" fontId="6" fillId="0" borderId="4" xfId="0" applyNumberFormat="1" applyFont="1" applyFill="1" applyBorder="1" applyAlignment="1">
      <alignment horizontal="justify" vertical="center" wrapText="1"/>
    </xf>
    <xf numFmtId="1" fontId="6" fillId="0" borderId="5" xfId="0" applyNumberFormat="1" applyFont="1" applyFill="1" applyBorder="1" applyAlignment="1">
      <alignment horizontal="left" vertical="center" wrapText="1"/>
    </xf>
    <xf numFmtId="1" fontId="4" fillId="2" borderId="6" xfId="0" applyNumberFormat="1" applyFont="1" applyFill="1" applyBorder="1" applyAlignment="1">
      <alignment horizontal="left" vertical="center" wrapText="1"/>
    </xf>
    <xf numFmtId="1" fontId="7" fillId="2" borderId="2" xfId="0" applyNumberFormat="1" applyFont="1" applyFill="1" applyBorder="1" applyAlignment="1">
      <alignment horizontal="justify" vertical="center" wrapText="1"/>
    </xf>
    <xf numFmtId="1" fontId="5" fillId="0" borderId="3" xfId="0" applyNumberFormat="1" applyFont="1" applyFill="1" applyBorder="1" applyAlignment="1">
      <alignment horizontal="justify" vertical="center" wrapText="1"/>
    </xf>
    <xf numFmtId="1" fontId="5" fillId="0" borderId="1" xfId="0" applyNumberFormat="1" applyFont="1" applyFill="1" applyBorder="1" applyAlignment="1">
      <alignment horizontal="justify" vertical="center" wrapText="1"/>
    </xf>
    <xf numFmtId="1" fontId="7" fillId="2" borderId="2" xfId="0" applyNumberFormat="1" applyFont="1" applyFill="1" applyBorder="1" applyAlignment="1">
      <alignment horizontal="left" vertical="center" wrapText="1"/>
    </xf>
    <xf numFmtId="0" fontId="6" fillId="0" borderId="5" xfId="2" applyFont="1" applyBorder="1"/>
    <xf numFmtId="164" fontId="6" fillId="0" borderId="3" xfId="2" applyNumberFormat="1" applyFont="1" applyFill="1" applyBorder="1" applyAlignment="1" applyProtection="1">
      <alignment horizontal="right" vertical="center" wrapText="1"/>
      <protection hidden="1"/>
    </xf>
    <xf numFmtId="1" fontId="7" fillId="2" borderId="8" xfId="0" applyNumberFormat="1" applyFont="1" applyFill="1" applyBorder="1" applyAlignment="1">
      <alignment horizontal="justify" vertical="center" wrapText="1"/>
    </xf>
    <xf numFmtId="0" fontId="4" fillId="2" borderId="9" xfId="2" applyFont="1" applyFill="1" applyBorder="1"/>
    <xf numFmtId="164" fontId="4" fillId="2" borderId="9" xfId="2" applyNumberFormat="1" applyFont="1" applyFill="1" applyBorder="1" applyAlignment="1" applyProtection="1">
      <alignment horizontal="right" vertical="center" wrapText="1"/>
      <protection hidden="1"/>
    </xf>
    <xf numFmtId="1" fontId="4" fillId="2" borderId="2" xfId="0" applyNumberFormat="1" applyFont="1" applyFill="1" applyBorder="1" applyAlignment="1">
      <alignment horizontal="justify" vertical="center" wrapText="1"/>
    </xf>
    <xf numFmtId="0" fontId="6" fillId="0" borderId="3" xfId="2" applyFont="1" applyBorder="1"/>
    <xf numFmtId="1" fontId="6" fillId="0" borderId="4" xfId="0" applyNumberFormat="1" applyFont="1" applyFill="1" applyBorder="1" applyAlignment="1">
      <alignment horizontal="left" vertical="center" wrapText="1"/>
    </xf>
    <xf numFmtId="0" fontId="4" fillId="2" borderId="10" xfId="2" applyFont="1" applyFill="1" applyBorder="1"/>
    <xf numFmtId="0" fontId="6" fillId="0" borderId="4" xfId="0" applyFont="1" applyBorder="1"/>
    <xf numFmtId="0" fontId="6" fillId="0" borderId="5" xfId="2" applyFont="1" applyBorder="1" applyAlignment="1">
      <alignment wrapText="1"/>
    </xf>
    <xf numFmtId="49" fontId="6" fillId="0" borderId="4" xfId="0" applyNumberFormat="1" applyFont="1" applyFill="1" applyBorder="1" applyAlignment="1">
      <alignment horizontal="left" vertical="center"/>
    </xf>
    <xf numFmtId="49" fontId="4" fillId="2" borderId="9" xfId="0" applyNumberFormat="1" applyFont="1" applyFill="1" applyBorder="1" applyAlignment="1">
      <alignment horizontal="left" vertical="center"/>
    </xf>
    <xf numFmtId="0" fontId="0" fillId="0" borderId="0" xfId="0" applyFill="1"/>
    <xf numFmtId="1" fontId="9" fillId="0" borderId="1" xfId="0" applyNumberFormat="1" applyFont="1" applyFill="1" applyBorder="1" applyAlignment="1">
      <alignment horizontal="justify" vertical="center" wrapText="1"/>
    </xf>
    <xf numFmtId="0" fontId="9" fillId="0" borderId="1" xfId="2" applyFont="1" applyBorder="1" applyAlignment="1">
      <alignment horizontal="right"/>
    </xf>
    <xf numFmtId="1" fontId="9" fillId="0" borderId="3" xfId="0" applyNumberFormat="1" applyFont="1" applyFill="1" applyBorder="1" applyAlignment="1">
      <alignment horizontal="justify" vertical="center" wrapText="1"/>
    </xf>
    <xf numFmtId="0" fontId="9" fillId="0" borderId="3" xfId="2" applyFont="1" applyBorder="1" applyAlignment="1">
      <alignment horizontal="right"/>
    </xf>
    <xf numFmtId="1" fontId="6" fillId="0" borderId="8" xfId="0" applyNumberFormat="1" applyFont="1" applyFill="1" applyBorder="1" applyAlignment="1">
      <alignment horizontal="justify" vertical="center" wrapText="1"/>
    </xf>
    <xf numFmtId="1" fontId="9" fillId="0" borderId="4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1" fontId="9" fillId="0" borderId="4" xfId="0" applyNumberFormat="1" applyFont="1" applyFill="1" applyBorder="1" applyAlignment="1">
      <alignment horizontal="justify" vertical="center" wrapText="1"/>
    </xf>
    <xf numFmtId="0" fontId="9" fillId="0" borderId="11" xfId="2" applyFont="1" applyFill="1" applyBorder="1" applyAlignment="1">
      <alignment horizontal="right"/>
    </xf>
    <xf numFmtId="164" fontId="9" fillId="0" borderId="3" xfId="2" applyNumberFormat="1" applyFont="1" applyFill="1" applyBorder="1" applyAlignment="1" applyProtection="1">
      <alignment horizontal="right" vertical="center" wrapText="1"/>
      <protection hidden="1"/>
    </xf>
    <xf numFmtId="0" fontId="9" fillId="0" borderId="5" xfId="2" applyFont="1" applyBorder="1" applyAlignment="1">
      <alignment horizontal="right"/>
    </xf>
    <xf numFmtId="0" fontId="6" fillId="0" borderId="1" xfId="2" applyFont="1" applyFill="1" applyBorder="1"/>
    <xf numFmtId="0" fontId="9" fillId="0" borderId="1" xfId="2" applyFont="1" applyFill="1" applyBorder="1" applyAlignment="1">
      <alignment horizontal="right"/>
    </xf>
    <xf numFmtId="49" fontId="6" fillId="0" borderId="3" xfId="0" applyNumberFormat="1" applyFont="1" applyFill="1" applyBorder="1" applyAlignment="1">
      <alignment horizontal="justify" vertical="center" wrapText="1"/>
    </xf>
    <xf numFmtId="0" fontId="12" fillId="0" borderId="0" xfId="0" applyFont="1"/>
    <xf numFmtId="1" fontId="4" fillId="2" borderId="8" xfId="0" applyNumberFormat="1" applyFont="1" applyFill="1" applyBorder="1" applyAlignment="1">
      <alignment horizontal="justify" vertical="center" wrapText="1"/>
    </xf>
    <xf numFmtId="1" fontId="9" fillId="0" borderId="5" xfId="0" applyNumberFormat="1" applyFont="1" applyFill="1" applyBorder="1" applyAlignment="1">
      <alignment horizontal="left" vertical="center" wrapText="1"/>
    </xf>
    <xf numFmtId="0" fontId="6" fillId="0" borderId="1" xfId="2" applyFont="1" applyBorder="1" applyAlignment="1">
      <alignment horizontal="left"/>
    </xf>
    <xf numFmtId="49" fontId="9" fillId="0" borderId="1" xfId="0" applyNumberFormat="1" applyFont="1" applyFill="1" applyBorder="1" applyAlignment="1">
      <alignment horizontal="justify" vertical="center" wrapText="1"/>
    </xf>
    <xf numFmtId="49" fontId="6" fillId="0" borderId="1" xfId="0" applyNumberFormat="1" applyFont="1" applyFill="1" applyBorder="1" applyAlignment="1">
      <alignment horizontal="justify" vertical="center" wrapText="1"/>
    </xf>
    <xf numFmtId="49" fontId="9" fillId="0" borderId="3" xfId="0" applyNumberFormat="1" applyFont="1" applyFill="1" applyBorder="1" applyAlignment="1">
      <alignment horizontal="justify" vertical="center" wrapText="1"/>
    </xf>
    <xf numFmtId="0" fontId="9" fillId="0" borderId="12" xfId="2" applyFont="1" applyFill="1" applyBorder="1" applyAlignment="1">
      <alignment horizontal="right"/>
    </xf>
    <xf numFmtId="164" fontId="9" fillId="0" borderId="4" xfId="2" applyNumberFormat="1" applyFont="1" applyFill="1" applyBorder="1" applyAlignment="1" applyProtection="1">
      <alignment horizontal="right" vertical="center" wrapText="1"/>
      <protection hidden="1"/>
    </xf>
    <xf numFmtId="0" fontId="6" fillId="0" borderId="13" xfId="2" applyFont="1" applyFill="1" applyBorder="1"/>
    <xf numFmtId="1" fontId="6" fillId="0" borderId="3" xfId="0" applyNumberFormat="1" applyFont="1" applyFill="1" applyBorder="1" applyAlignment="1">
      <alignment horizontal="left" vertical="center" wrapText="1"/>
    </xf>
    <xf numFmtId="1" fontId="8" fillId="2" borderId="2" xfId="0" applyNumberFormat="1" applyFont="1" applyFill="1" applyBorder="1" applyAlignment="1">
      <alignment horizontal="left" vertical="center" wrapText="1"/>
    </xf>
    <xf numFmtId="49" fontId="14" fillId="0" borderId="3" xfId="0" applyNumberFormat="1" applyFont="1" applyFill="1" applyBorder="1" applyAlignment="1">
      <alignment horizontal="justify" wrapText="1"/>
    </xf>
    <xf numFmtId="49" fontId="14" fillId="0" borderId="1" xfId="0" applyNumberFormat="1" applyFont="1" applyFill="1" applyBorder="1" applyAlignment="1">
      <alignment horizontal="justify" wrapText="1"/>
    </xf>
    <xf numFmtId="0" fontId="16" fillId="0" borderId="0" xfId="0" applyFont="1"/>
    <xf numFmtId="0" fontId="15" fillId="0" borderId="0" xfId="0" applyFont="1"/>
    <xf numFmtId="0" fontId="17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justify" wrapText="1"/>
    </xf>
    <xf numFmtId="0" fontId="9" fillId="3" borderId="1" xfId="2" applyFont="1" applyFill="1" applyBorder="1" applyAlignment="1">
      <alignment horizontal="right"/>
    </xf>
    <xf numFmtId="0" fontId="9" fillId="3" borderId="3" xfId="2" applyFont="1" applyFill="1" applyBorder="1" applyAlignment="1">
      <alignment horizontal="right"/>
    </xf>
    <xf numFmtId="49" fontId="9" fillId="0" borderId="1" xfId="0" applyNumberFormat="1" applyFont="1" applyBorder="1" applyAlignment="1">
      <alignment horizontal="justify" wrapText="1"/>
    </xf>
    <xf numFmtId="49" fontId="10" fillId="0" borderId="3" xfId="0" applyNumberFormat="1" applyFont="1" applyBorder="1" applyAlignment="1">
      <alignment horizontal="left" wrapText="1"/>
    </xf>
    <xf numFmtId="0" fontId="18" fillId="0" borderId="0" xfId="0" applyFont="1"/>
    <xf numFmtId="0" fontId="17" fillId="0" borderId="3" xfId="0" applyFont="1" applyBorder="1" applyAlignment="1">
      <alignment horizontal="justify" vertical="center" wrapText="1"/>
    </xf>
    <xf numFmtId="0" fontId="13" fillId="0" borderId="0" xfId="0" applyFont="1"/>
    <xf numFmtId="164" fontId="9" fillId="0" borderId="1" xfId="2" applyNumberFormat="1" applyFont="1" applyFill="1" applyBorder="1" applyAlignment="1" applyProtection="1">
      <alignment horizontal="right" vertical="center" wrapText="1"/>
      <protection hidden="1"/>
    </xf>
    <xf numFmtId="0" fontId="9" fillId="0" borderId="11" xfId="0" applyFont="1" applyBorder="1" applyAlignment="1">
      <alignment horizontal="right"/>
    </xf>
    <xf numFmtId="0" fontId="6" fillId="0" borderId="11" xfId="2" applyFont="1" applyFill="1" applyBorder="1" applyAlignment="1">
      <alignment horizontal="right"/>
    </xf>
    <xf numFmtId="0" fontId="6" fillId="0" borderId="0" xfId="2" applyFont="1"/>
    <xf numFmtId="165" fontId="4" fillId="2" borderId="9" xfId="2" applyNumberFormat="1" applyFont="1" applyFill="1" applyBorder="1"/>
    <xf numFmtId="0" fontId="17" fillId="0" borderId="5" xfId="0" applyFont="1" applyBorder="1" applyAlignment="1">
      <alignment horizontal="right" vertical="center" wrapText="1"/>
    </xf>
    <xf numFmtId="0" fontId="17" fillId="0" borderId="4" xfId="0" applyFont="1" applyBorder="1" applyAlignment="1">
      <alignment horizontal="justify" vertical="center" wrapText="1"/>
    </xf>
    <xf numFmtId="0" fontId="11" fillId="2" borderId="9" xfId="0" applyFont="1" applyFill="1" applyBorder="1" applyAlignment="1">
      <alignment horizontal="left" vertical="center" wrapText="1"/>
    </xf>
    <xf numFmtId="165" fontId="4" fillId="2" borderId="9" xfId="2" applyNumberFormat="1" applyFont="1" applyFill="1" applyBorder="1" applyAlignment="1">
      <alignment vertical="center"/>
    </xf>
    <xf numFmtId="165" fontId="6" fillId="2" borderId="11" xfId="2" applyNumberFormat="1" applyFont="1" applyFill="1" applyBorder="1" applyAlignment="1"/>
    <xf numFmtId="165" fontId="6" fillId="2" borderId="12" xfId="2" applyNumberFormat="1" applyFont="1" applyFill="1" applyBorder="1"/>
    <xf numFmtId="165" fontId="6" fillId="2" borderId="11" xfId="2" applyNumberFormat="1" applyFont="1" applyFill="1" applyBorder="1"/>
    <xf numFmtId="165" fontId="6" fillId="2" borderId="17" xfId="2" applyNumberFormat="1" applyFont="1" applyFill="1" applyBorder="1"/>
    <xf numFmtId="165" fontId="6" fillId="2" borderId="18" xfId="2" applyNumberFormat="1" applyFont="1" applyFill="1" applyBorder="1"/>
    <xf numFmtId="165" fontId="4" fillId="2" borderId="10" xfId="2" applyNumberFormat="1" applyFont="1" applyFill="1" applyBorder="1"/>
    <xf numFmtId="165" fontId="0" fillId="0" borderId="0" xfId="0" applyNumberFormat="1"/>
    <xf numFmtId="165" fontId="6" fillId="2" borderId="12" xfId="2" applyNumberFormat="1" applyFont="1" applyFill="1" applyBorder="1" applyAlignment="1"/>
    <xf numFmtId="165" fontId="9" fillId="2" borderId="11" xfId="2" applyNumberFormat="1" applyFont="1" applyFill="1" applyBorder="1" applyAlignment="1"/>
    <xf numFmtId="165" fontId="9" fillId="2" borderId="17" xfId="2" applyNumberFormat="1" applyFont="1" applyFill="1" applyBorder="1"/>
    <xf numFmtId="165" fontId="9" fillId="2" borderId="11" xfId="2" applyNumberFormat="1" applyFont="1" applyFill="1" applyBorder="1"/>
    <xf numFmtId="165" fontId="9" fillId="2" borderId="18" xfId="2" applyNumberFormat="1" applyFont="1" applyFill="1" applyBorder="1"/>
    <xf numFmtId="165" fontId="9" fillId="2" borderId="12" xfId="2" applyNumberFormat="1" applyFont="1" applyFill="1" applyBorder="1"/>
    <xf numFmtId="165" fontId="6" fillId="2" borderId="10" xfId="2" applyNumberFormat="1" applyFont="1" applyFill="1" applyBorder="1"/>
    <xf numFmtId="165" fontId="14" fillId="2" borderId="11" xfId="2" applyNumberFormat="1" applyFont="1" applyFill="1" applyBorder="1"/>
    <xf numFmtId="165" fontId="9" fillId="2" borderId="12" xfId="2" applyNumberFormat="1" applyFont="1" applyFill="1" applyBorder="1" applyAlignment="1"/>
    <xf numFmtId="165" fontId="9" fillId="2" borderId="17" xfId="2" applyNumberFormat="1" applyFont="1" applyFill="1" applyBorder="1" applyAlignment="1"/>
    <xf numFmtId="165" fontId="9" fillId="2" borderId="18" xfId="2" applyNumberFormat="1" applyFont="1" applyFill="1" applyBorder="1" applyAlignment="1"/>
    <xf numFmtId="165" fontId="4" fillId="2" borderId="24" xfId="2" applyNumberFormat="1" applyFont="1" applyFill="1" applyBorder="1" applyAlignment="1">
      <alignment vertical="center"/>
    </xf>
    <xf numFmtId="1" fontId="6" fillId="0" borderId="1" xfId="0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justify" vertical="center" wrapText="1"/>
    </xf>
    <xf numFmtId="0" fontId="17" fillId="0" borderId="1" xfId="0" applyFont="1" applyBorder="1" applyAlignment="1">
      <alignment horizontal="justify" vertical="center" wrapText="1"/>
    </xf>
    <xf numFmtId="49" fontId="6" fillId="0" borderId="5" xfId="0" applyNumberFormat="1" applyFont="1" applyFill="1" applyBorder="1" applyAlignment="1">
      <alignment horizontal="right" vertical="center"/>
    </xf>
    <xf numFmtId="1" fontId="6" fillId="0" borderId="5" xfId="0" applyNumberFormat="1" applyFont="1" applyFill="1" applyBorder="1" applyAlignment="1">
      <alignment horizontal="justify" wrapText="1"/>
    </xf>
    <xf numFmtId="49" fontId="6" fillId="0" borderId="11" xfId="0" applyNumberFormat="1" applyFont="1" applyFill="1" applyBorder="1" applyAlignment="1">
      <alignment horizontal="right" vertical="center"/>
    </xf>
    <xf numFmtId="1" fontId="6" fillId="0" borderId="1" xfId="0" applyNumberFormat="1" applyFont="1" applyFill="1" applyBorder="1" applyAlignment="1">
      <alignment horizontal="justify" wrapText="1"/>
    </xf>
    <xf numFmtId="0" fontId="9" fillId="0" borderId="1" xfId="0" applyFont="1" applyBorder="1" applyAlignment="1">
      <alignment horizontal="justify" wrapText="1"/>
    </xf>
    <xf numFmtId="165" fontId="4" fillId="2" borderId="25" xfId="0" applyNumberFormat="1" applyFont="1" applyFill="1" applyBorder="1" applyAlignment="1">
      <alignment vertical="center"/>
    </xf>
    <xf numFmtId="0" fontId="6" fillId="0" borderId="1" xfId="2" applyFont="1" applyFill="1" applyBorder="1" applyAlignment="1">
      <alignment horizontal="left"/>
    </xf>
    <xf numFmtId="49" fontId="10" fillId="0" borderId="1" xfId="0" applyNumberFormat="1" applyFont="1" applyBorder="1" applyAlignment="1">
      <alignment horizontal="right" vertical="center" wrapText="1"/>
    </xf>
    <xf numFmtId="165" fontId="6" fillId="2" borderId="15" xfId="2" applyNumberFormat="1" applyFont="1" applyFill="1" applyBorder="1"/>
    <xf numFmtId="49" fontId="9" fillId="0" borderId="1" xfId="0" applyNumberFormat="1" applyFont="1" applyBorder="1" applyAlignment="1">
      <alignment horizontal="right" vertical="center" wrapText="1"/>
    </xf>
    <xf numFmtId="49" fontId="6" fillId="0" borderId="1" xfId="0" applyNumberFormat="1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right" vertical="center" wrapText="1"/>
    </xf>
    <xf numFmtId="49" fontId="6" fillId="0" borderId="7" xfId="0" applyNumberFormat="1" applyFont="1" applyFill="1" applyBorder="1" applyAlignment="1">
      <alignment horizontal="justify" vertical="center" wrapText="1"/>
    </xf>
    <xf numFmtId="0" fontId="15" fillId="0" borderId="0" xfId="0" applyFont="1" applyFill="1"/>
    <xf numFmtId="4" fontId="0" fillId="0" borderId="0" xfId="0" applyNumberFormat="1"/>
    <xf numFmtId="0" fontId="18" fillId="0" borderId="0" xfId="0" applyFont="1" applyFill="1"/>
    <xf numFmtId="0" fontId="6" fillId="0" borderId="10" xfId="2" applyFont="1" applyFill="1" applyBorder="1"/>
    <xf numFmtId="0" fontId="6" fillId="0" borderId="15" xfId="2" applyFont="1" applyFill="1" applyBorder="1"/>
    <xf numFmtId="49" fontId="14" fillId="0" borderId="4" xfId="0" applyNumberFormat="1" applyFont="1" applyFill="1" applyBorder="1" applyAlignment="1">
      <alignment horizontal="justify" wrapText="1"/>
    </xf>
    <xf numFmtId="165" fontId="14" fillId="2" borderId="18" xfId="2" applyNumberFormat="1" applyFont="1" applyFill="1" applyBorder="1"/>
    <xf numFmtId="49" fontId="10" fillId="0" borderId="5" xfId="0" applyNumberFormat="1" applyFont="1" applyBorder="1" applyAlignment="1">
      <alignment horizontal="right" vertical="center" wrapText="1"/>
    </xf>
    <xf numFmtId="49" fontId="9" fillId="0" borderId="5" xfId="0" applyNumberFormat="1" applyFont="1" applyBorder="1" applyAlignment="1">
      <alignment horizontal="justify" wrapText="1"/>
    </xf>
    <xf numFmtId="165" fontId="9" fillId="2" borderId="15" xfId="2" applyNumberFormat="1" applyFont="1" applyFill="1" applyBorder="1"/>
    <xf numFmtId="164" fontId="20" fillId="2" borderId="9" xfId="2" applyNumberFormat="1" applyFont="1" applyFill="1" applyBorder="1" applyAlignment="1" applyProtection="1">
      <alignment horizontal="right" vertical="center" wrapText="1"/>
      <protection hidden="1"/>
    </xf>
    <xf numFmtId="1" fontId="21" fillId="2" borderId="2" xfId="0" applyNumberFormat="1" applyFont="1" applyFill="1" applyBorder="1" applyAlignment="1">
      <alignment horizontal="left" vertical="center" wrapText="1"/>
    </xf>
    <xf numFmtId="165" fontId="20" fillId="2" borderId="16" xfId="2" applyNumberFormat="1" applyFont="1" applyFill="1" applyBorder="1" applyAlignment="1" applyProtection="1">
      <alignment horizontal="right" vertical="center"/>
      <protection hidden="1"/>
    </xf>
    <xf numFmtId="4" fontId="20" fillId="2" borderId="9" xfId="2" applyNumberFormat="1" applyFont="1" applyFill="1" applyBorder="1" applyAlignment="1" applyProtection="1">
      <alignment horizontal="right" vertical="center"/>
      <protection hidden="1"/>
    </xf>
    <xf numFmtId="1" fontId="22" fillId="0" borderId="3" xfId="0" applyNumberFormat="1" applyFont="1" applyFill="1" applyBorder="1" applyAlignment="1">
      <alignment horizontal="left" vertical="center" wrapText="1"/>
    </xf>
    <xf numFmtId="165" fontId="22" fillId="2" borderId="12" xfId="2" applyNumberFormat="1" applyFont="1" applyFill="1" applyBorder="1" applyAlignment="1"/>
    <xf numFmtId="4" fontId="22" fillId="0" borderId="12" xfId="2" applyNumberFormat="1" applyFont="1" applyFill="1" applyBorder="1" applyAlignment="1"/>
    <xf numFmtId="1" fontId="20" fillId="2" borderId="2" xfId="0" applyNumberFormat="1" applyFont="1" applyFill="1" applyBorder="1" applyAlignment="1">
      <alignment horizontal="left" vertical="center" wrapText="1"/>
    </xf>
    <xf numFmtId="165" fontId="20" fillId="2" borderId="16" xfId="2" applyNumberFormat="1" applyFont="1" applyFill="1" applyBorder="1" applyAlignment="1">
      <alignment vertical="center"/>
    </xf>
    <xf numFmtId="4" fontId="20" fillId="2" borderId="9" xfId="2" applyNumberFormat="1" applyFont="1" applyFill="1" applyBorder="1" applyAlignment="1">
      <alignment vertical="center"/>
    </xf>
    <xf numFmtId="1" fontId="22" fillId="0" borderId="3" xfId="0" applyNumberFormat="1" applyFont="1" applyFill="1" applyBorder="1" applyAlignment="1">
      <alignment horizontal="justify" vertical="center" wrapText="1"/>
    </xf>
    <xf numFmtId="1" fontId="22" fillId="0" borderId="1" xfId="0" applyNumberFormat="1" applyFont="1" applyFill="1" applyBorder="1" applyAlignment="1">
      <alignment horizontal="justify" vertical="center" wrapText="1"/>
    </xf>
    <xf numFmtId="165" fontId="22" fillId="2" borderId="11" xfId="2" applyNumberFormat="1" applyFont="1" applyFill="1" applyBorder="1" applyAlignment="1"/>
    <xf numFmtId="4" fontId="22" fillId="0" borderId="11" xfId="2" applyNumberFormat="1" applyFont="1" applyFill="1" applyBorder="1" applyAlignment="1"/>
    <xf numFmtId="0" fontId="20" fillId="2" borderId="9" xfId="2" applyFont="1" applyFill="1" applyBorder="1"/>
    <xf numFmtId="165" fontId="22" fillId="2" borderId="12" xfId="2" applyNumberFormat="1" applyFont="1" applyFill="1" applyBorder="1"/>
    <xf numFmtId="4" fontId="22" fillId="0" borderId="12" xfId="2" applyNumberFormat="1" applyFont="1" applyFill="1" applyBorder="1"/>
    <xf numFmtId="165" fontId="22" fillId="2" borderId="11" xfId="2" applyNumberFormat="1" applyFont="1" applyFill="1" applyBorder="1"/>
    <xf numFmtId="4" fontId="22" fillId="0" borderId="11" xfId="2" applyNumberFormat="1" applyFont="1" applyFill="1" applyBorder="1"/>
    <xf numFmtId="1" fontId="22" fillId="0" borderId="5" xfId="0" applyNumberFormat="1" applyFont="1" applyFill="1" applyBorder="1" applyAlignment="1">
      <alignment horizontal="left" vertical="center" wrapText="1"/>
    </xf>
    <xf numFmtId="165" fontId="22" fillId="2" borderId="17" xfId="2" applyNumberFormat="1" applyFont="1" applyFill="1" applyBorder="1"/>
    <xf numFmtId="4" fontId="22" fillId="0" borderId="17" xfId="2" applyNumberFormat="1" applyFont="1" applyFill="1" applyBorder="1"/>
    <xf numFmtId="165" fontId="20" fillId="2" borderId="9" xfId="2" applyNumberFormat="1" applyFont="1" applyFill="1" applyBorder="1"/>
    <xf numFmtId="165" fontId="20" fillId="2" borderId="16" xfId="0" applyNumberFormat="1" applyFont="1" applyFill="1" applyBorder="1"/>
    <xf numFmtId="4" fontId="20" fillId="2" borderId="9" xfId="2" applyNumberFormat="1" applyFont="1" applyFill="1" applyBorder="1"/>
    <xf numFmtId="1" fontId="20" fillId="2" borderId="6" xfId="0" applyNumberFormat="1" applyFont="1" applyFill="1" applyBorder="1" applyAlignment="1">
      <alignment horizontal="left" vertical="center" wrapText="1"/>
    </xf>
    <xf numFmtId="1" fontId="22" fillId="0" borderId="4" xfId="0" applyNumberFormat="1" applyFont="1" applyFill="1" applyBorder="1" applyAlignment="1">
      <alignment horizontal="left" vertical="center" wrapText="1"/>
    </xf>
    <xf numFmtId="165" fontId="22" fillId="2" borderId="18" xfId="2" applyNumberFormat="1" applyFont="1" applyFill="1" applyBorder="1"/>
    <xf numFmtId="4" fontId="22" fillId="0" borderId="18" xfId="2" applyNumberFormat="1" applyFont="1" applyFill="1" applyBorder="1"/>
    <xf numFmtId="1" fontId="20" fillId="2" borderId="2" xfId="0" applyNumberFormat="1" applyFont="1" applyFill="1" applyBorder="1" applyAlignment="1">
      <alignment horizontal="justify" vertical="center" wrapText="1"/>
    </xf>
    <xf numFmtId="165" fontId="20" fillId="2" borderId="16" xfId="2" applyNumberFormat="1" applyFont="1" applyFill="1" applyBorder="1"/>
    <xf numFmtId="1" fontId="22" fillId="0" borderId="2" xfId="0" applyNumberFormat="1" applyFont="1" applyFill="1" applyBorder="1" applyAlignment="1">
      <alignment horizontal="justify" vertical="center" wrapText="1"/>
    </xf>
    <xf numFmtId="165" fontId="22" fillId="2" borderId="9" xfId="2" applyNumberFormat="1" applyFont="1" applyFill="1" applyBorder="1"/>
    <xf numFmtId="1" fontId="20" fillId="2" borderId="8" xfId="0" applyNumberFormat="1" applyFont="1" applyFill="1" applyBorder="1" applyAlignment="1">
      <alignment horizontal="justify" vertical="center" wrapText="1"/>
    </xf>
    <xf numFmtId="0" fontId="22" fillId="0" borderId="7" xfId="0" applyFont="1" applyBorder="1" applyAlignment="1">
      <alignment horizontal="justify" wrapText="1"/>
    </xf>
    <xf numFmtId="49" fontId="22" fillId="0" borderId="1" xfId="0" applyNumberFormat="1" applyFont="1" applyFill="1" applyBorder="1" applyAlignment="1">
      <alignment horizontal="justify" vertical="center" wrapText="1"/>
    </xf>
    <xf numFmtId="165" fontId="20" fillId="2" borderId="10" xfId="2" applyNumberFormat="1" applyFont="1" applyFill="1" applyBorder="1"/>
    <xf numFmtId="4" fontId="20" fillId="2" borderId="10" xfId="2" applyNumberFormat="1" applyFont="1" applyFill="1" applyBorder="1"/>
    <xf numFmtId="1" fontId="20" fillId="0" borderId="9" xfId="0" applyNumberFormat="1" applyFont="1" applyFill="1" applyBorder="1" applyAlignment="1">
      <alignment horizontal="left" vertical="center" wrapText="1"/>
    </xf>
    <xf numFmtId="4" fontId="20" fillId="0" borderId="9" xfId="2" applyNumberFormat="1" applyFont="1" applyFill="1" applyBorder="1"/>
    <xf numFmtId="1" fontId="22" fillId="0" borderId="9" xfId="0" applyNumberFormat="1" applyFont="1" applyFill="1" applyBorder="1" applyAlignment="1">
      <alignment horizontal="left" vertical="center" wrapText="1"/>
    </xf>
    <xf numFmtId="4" fontId="22" fillId="0" borderId="9" xfId="2" applyNumberFormat="1" applyFont="1" applyFill="1" applyBorder="1"/>
    <xf numFmtId="0" fontId="23" fillId="0" borderId="9" xfId="0" applyFont="1" applyFill="1" applyBorder="1" applyAlignment="1">
      <alignment horizontal="justify" vertical="center" wrapText="1"/>
    </xf>
    <xf numFmtId="1" fontId="22" fillId="0" borderId="4" xfId="0" applyNumberFormat="1" applyFont="1" applyFill="1" applyBorder="1" applyAlignment="1">
      <alignment horizontal="justify" vertical="center" wrapText="1"/>
    </xf>
    <xf numFmtId="165" fontId="20" fillId="2" borderId="18" xfId="2" applyNumberFormat="1" applyFont="1" applyFill="1" applyBorder="1"/>
    <xf numFmtId="49" fontId="10" fillId="0" borderId="17" xfId="0" applyNumberFormat="1" applyFont="1" applyBorder="1" applyAlignment="1">
      <alignment horizontal="right" vertical="center" wrapText="1"/>
    </xf>
    <xf numFmtId="49" fontId="9" fillId="0" borderId="29" xfId="0" applyNumberFormat="1" applyFont="1" applyBorder="1" applyAlignment="1">
      <alignment horizontal="justify" wrapText="1"/>
    </xf>
    <xf numFmtId="165" fontId="6" fillId="5" borderId="18" xfId="2" applyNumberFormat="1" applyFont="1" applyFill="1" applyBorder="1"/>
    <xf numFmtId="0" fontId="4" fillId="2" borderId="24" xfId="2" applyFont="1" applyFill="1" applyBorder="1"/>
    <xf numFmtId="0" fontId="9" fillId="0" borderId="26" xfId="2" applyFont="1" applyFill="1" applyBorder="1" applyAlignment="1">
      <alignment horizontal="right"/>
    </xf>
    <xf numFmtId="1" fontId="9" fillId="0" borderId="30" xfId="0" applyNumberFormat="1" applyFont="1" applyFill="1" applyBorder="1" applyAlignment="1">
      <alignment horizontal="justify" vertical="center" wrapText="1"/>
    </xf>
    <xf numFmtId="0" fontId="9" fillId="0" borderId="1" xfId="2" applyFont="1" applyFill="1" applyBorder="1"/>
    <xf numFmtId="0" fontId="9" fillId="0" borderId="11" xfId="2" applyFont="1" applyFill="1" applyBorder="1"/>
    <xf numFmtId="0" fontId="9" fillId="0" borderId="24" xfId="2" applyFont="1" applyFill="1" applyBorder="1"/>
    <xf numFmtId="0" fontId="0" fillId="0" borderId="0" xfId="0" applyFont="1"/>
    <xf numFmtId="1" fontId="9" fillId="0" borderId="7" xfId="0" applyNumberFormat="1" applyFont="1" applyFill="1" applyBorder="1" applyAlignment="1">
      <alignment horizontal="justify" vertical="center" wrapText="1"/>
    </xf>
    <xf numFmtId="0" fontId="6" fillId="0" borderId="19" xfId="2" applyFont="1" applyBorder="1" applyAlignment="1">
      <alignment horizontal="left"/>
    </xf>
    <xf numFmtId="49" fontId="6" fillId="0" borderId="32" xfId="0" applyNumberFormat="1" applyFont="1" applyFill="1" applyBorder="1" applyAlignment="1">
      <alignment vertical="center" wrapText="1"/>
    </xf>
    <xf numFmtId="0" fontId="12" fillId="0" borderId="0" xfId="0" applyFont="1" applyFill="1"/>
    <xf numFmtId="0" fontId="17" fillId="0" borderId="4" xfId="0" applyFont="1" applyBorder="1" applyAlignment="1">
      <alignment horizontal="right" vertical="center" wrapText="1"/>
    </xf>
    <xf numFmtId="165" fontId="6" fillId="5" borderId="14" xfId="2" applyNumberFormat="1" applyFont="1" applyFill="1" applyBorder="1"/>
    <xf numFmtId="49" fontId="9" fillId="0" borderId="3" xfId="0" applyNumberFormat="1" applyFont="1" applyFill="1" applyBorder="1" applyAlignment="1">
      <alignment horizontal="justify" vertical="top" wrapText="1"/>
    </xf>
    <xf numFmtId="165" fontId="6" fillId="5" borderId="11" xfId="2" applyNumberFormat="1" applyFont="1" applyFill="1" applyBorder="1"/>
    <xf numFmtId="165" fontId="14" fillId="2" borderId="17" xfId="2" applyNumberFormat="1" applyFont="1" applyFill="1" applyBorder="1"/>
    <xf numFmtId="0" fontId="6" fillId="4" borderId="1" xfId="2" applyFont="1" applyFill="1" applyBorder="1"/>
    <xf numFmtId="0" fontId="9" fillId="4" borderId="1" xfId="2" applyFont="1" applyFill="1" applyBorder="1" applyAlignment="1">
      <alignment horizontal="right"/>
    </xf>
    <xf numFmtId="165" fontId="9" fillId="5" borderId="11" xfId="2" applyNumberFormat="1" applyFont="1" applyFill="1" applyBorder="1"/>
    <xf numFmtId="0" fontId="17" fillId="0" borderId="3" xfId="0" applyFont="1" applyBorder="1" applyAlignment="1">
      <alignment horizontal="right" vertical="center" wrapText="1"/>
    </xf>
    <xf numFmtId="165" fontId="6" fillId="5" borderId="12" xfId="2" applyNumberFormat="1" applyFont="1" applyFill="1" applyBorder="1"/>
    <xf numFmtId="1" fontId="6" fillId="4" borderId="13" xfId="0" applyNumberFormat="1" applyFont="1" applyFill="1" applyBorder="1" applyAlignment="1">
      <alignment horizontal="left" vertical="center" wrapText="1"/>
    </xf>
    <xf numFmtId="49" fontId="10" fillId="0" borderId="20" xfId="0" applyNumberFormat="1" applyFont="1" applyBorder="1" applyAlignment="1">
      <alignment horizontal="right" vertical="center" wrapText="1"/>
    </xf>
    <xf numFmtId="49" fontId="6" fillId="4" borderId="3" xfId="0" applyNumberFormat="1" applyFont="1" applyFill="1" applyBorder="1" applyAlignment="1">
      <alignment horizontal="justify" vertical="center" wrapText="1"/>
    </xf>
    <xf numFmtId="49" fontId="9" fillId="4" borderId="3" xfId="0" applyNumberFormat="1" applyFont="1" applyFill="1" applyBorder="1" applyAlignment="1">
      <alignment horizontal="justify" vertical="center" wrapText="1"/>
    </xf>
    <xf numFmtId="165" fontId="9" fillId="5" borderId="12" xfId="2" applyNumberFormat="1" applyFont="1" applyFill="1" applyBorder="1"/>
    <xf numFmtId="165" fontId="4" fillId="2" borderId="16" xfId="2" applyNumberFormat="1" applyFont="1" applyFill="1" applyBorder="1" applyAlignment="1" applyProtection="1">
      <alignment horizontal="right" vertical="center"/>
      <protection hidden="1"/>
    </xf>
    <xf numFmtId="165" fontId="4" fillId="2" borderId="16" xfId="2" applyNumberFormat="1" applyFont="1" applyFill="1" applyBorder="1" applyAlignment="1">
      <alignment vertical="center"/>
    </xf>
    <xf numFmtId="165" fontId="9" fillId="0" borderId="22" xfId="0" applyNumberFormat="1" applyFont="1" applyFill="1" applyBorder="1"/>
    <xf numFmtId="165" fontId="4" fillId="2" borderId="16" xfId="2" applyNumberFormat="1" applyFont="1" applyFill="1" applyBorder="1"/>
    <xf numFmtId="0" fontId="2" fillId="0" borderId="0" xfId="2" applyFont="1"/>
    <xf numFmtId="165" fontId="1" fillId="0" borderId="0" xfId="0" applyNumberFormat="1" applyFont="1"/>
    <xf numFmtId="0" fontId="1" fillId="0" borderId="0" xfId="0" applyFont="1"/>
    <xf numFmtId="0" fontId="10" fillId="0" borderId="5" xfId="0" applyFont="1" applyBorder="1" applyAlignment="1">
      <alignment horizontal="justify" vertical="center" wrapText="1"/>
    </xf>
    <xf numFmtId="0" fontId="9" fillId="0" borderId="1" xfId="2" applyFont="1" applyBorder="1"/>
    <xf numFmtId="0" fontId="10" fillId="0" borderId="5" xfId="0" applyFont="1" applyBorder="1" applyAlignment="1">
      <alignment horizontal="right" vertical="center" wrapText="1"/>
    </xf>
    <xf numFmtId="0" fontId="10" fillId="0" borderId="7" xfId="0" applyFont="1" applyBorder="1" applyAlignment="1">
      <alignment horizontal="right" vertical="center" wrapText="1"/>
    </xf>
    <xf numFmtId="165" fontId="22" fillId="0" borderId="9" xfId="2" applyNumberFormat="1" applyFont="1" applyFill="1" applyBorder="1"/>
    <xf numFmtId="165" fontId="22" fillId="0" borderId="20" xfId="0" applyNumberFormat="1" applyFont="1" applyFill="1" applyBorder="1"/>
    <xf numFmtId="164" fontId="9" fillId="0" borderId="3" xfId="2" applyNumberFormat="1" applyFont="1" applyFill="1" applyBorder="1" applyAlignment="1" applyProtection="1">
      <alignment horizontal="justify" vertical="center" wrapText="1"/>
      <protection hidden="1"/>
    </xf>
    <xf numFmtId="164" fontId="9" fillId="0" borderId="4" xfId="2" applyNumberFormat="1" applyFont="1" applyFill="1" applyBorder="1" applyAlignment="1" applyProtection="1">
      <alignment horizontal="justify" vertical="center" wrapText="1"/>
      <protection hidden="1"/>
    </xf>
    <xf numFmtId="4" fontId="9" fillId="0" borderId="33" xfId="0" applyNumberFormat="1" applyFont="1" applyFill="1" applyBorder="1"/>
    <xf numFmtId="4" fontId="6" fillId="0" borderId="35" xfId="2" applyNumberFormat="1" applyFont="1" applyFill="1" applyBorder="1" applyAlignment="1"/>
    <xf numFmtId="4" fontId="9" fillId="0" borderId="35" xfId="0" applyNumberFormat="1" applyFont="1" applyFill="1" applyBorder="1" applyAlignment="1"/>
    <xf numFmtId="4" fontId="9" fillId="0" borderId="23" xfId="0" applyNumberFormat="1" applyFont="1" applyFill="1" applyBorder="1" applyAlignment="1"/>
    <xf numFmtId="4" fontId="6" fillId="0" borderId="23" xfId="0" applyNumberFormat="1" applyFont="1" applyFill="1" applyBorder="1" applyAlignment="1"/>
    <xf numFmtId="4" fontId="9" fillId="0" borderId="33" xfId="0" applyNumberFormat="1" applyFont="1" applyFill="1" applyBorder="1" applyAlignment="1"/>
    <xf numFmtId="4" fontId="9" fillId="0" borderId="37" xfId="0" applyNumberFormat="1" applyFont="1" applyFill="1" applyBorder="1" applyAlignment="1"/>
    <xf numFmtId="4" fontId="6" fillId="0" borderId="35" xfId="0" applyNumberFormat="1" applyFont="1" applyFill="1" applyBorder="1"/>
    <xf numFmtId="4" fontId="6" fillId="0" borderId="23" xfId="0" applyNumberFormat="1" applyFont="1" applyFill="1" applyBorder="1"/>
    <xf numFmtId="4" fontId="9" fillId="0" borderId="23" xfId="0" applyNumberFormat="1" applyFont="1" applyFill="1" applyBorder="1"/>
    <xf numFmtId="165" fontId="9" fillId="0" borderId="38" xfId="2" applyNumberFormat="1" applyFont="1" applyFill="1" applyBorder="1"/>
    <xf numFmtId="4" fontId="6" fillId="4" borderId="37" xfId="2" applyNumberFormat="1" applyFont="1" applyFill="1" applyBorder="1"/>
    <xf numFmtId="4" fontId="6" fillId="0" borderId="33" xfId="0" applyNumberFormat="1" applyFont="1" applyFill="1" applyBorder="1"/>
    <xf numFmtId="4" fontId="6" fillId="4" borderId="23" xfId="0" applyNumberFormat="1" applyFont="1" applyFill="1" applyBorder="1"/>
    <xf numFmtId="4" fontId="9" fillId="4" borderId="23" xfId="0" applyNumberFormat="1" applyFont="1" applyFill="1" applyBorder="1"/>
    <xf numFmtId="4" fontId="9" fillId="0" borderId="35" xfId="0" applyNumberFormat="1" applyFont="1" applyFill="1" applyBorder="1"/>
    <xf numFmtId="4" fontId="6" fillId="0" borderId="39" xfId="0" applyNumberFormat="1" applyFont="1" applyFill="1" applyBorder="1"/>
    <xf numFmtId="4" fontId="6" fillId="0" borderId="40" xfId="0" applyNumberFormat="1" applyFont="1" applyFill="1" applyBorder="1"/>
    <xf numFmtId="4" fontId="6" fillId="0" borderId="37" xfId="0" applyNumberFormat="1" applyFont="1" applyFill="1" applyBorder="1"/>
    <xf numFmtId="4" fontId="9" fillId="0" borderId="39" xfId="0" applyNumberFormat="1" applyFont="1" applyFill="1" applyBorder="1"/>
    <xf numFmtId="0" fontId="9" fillId="0" borderId="3" xfId="0" applyNumberFormat="1" applyFont="1" applyFill="1" applyBorder="1" applyAlignment="1">
      <alignment horizontal="justify" vertical="center" wrapText="1"/>
    </xf>
    <xf numFmtId="4" fontId="6" fillId="0" borderId="23" xfId="0" applyNumberFormat="1" applyFont="1" applyFill="1" applyBorder="1" applyAlignment="1">
      <alignment horizontal="right"/>
    </xf>
    <xf numFmtId="1" fontId="22" fillId="4" borderId="4" xfId="0" applyNumberFormat="1" applyFont="1" applyFill="1" applyBorder="1" applyAlignment="1">
      <alignment horizontal="justify" vertical="center" wrapText="1"/>
    </xf>
    <xf numFmtId="0" fontId="6" fillId="4" borderId="14" xfId="2" applyFont="1" applyFill="1" applyBorder="1"/>
    <xf numFmtId="165" fontId="20" fillId="2" borderId="28" xfId="2" applyNumberFormat="1" applyFont="1" applyFill="1" applyBorder="1"/>
    <xf numFmtId="49" fontId="22" fillId="0" borderId="9" xfId="0" applyNumberFormat="1" applyFont="1" applyFill="1" applyBorder="1" applyAlignment="1">
      <alignment horizontal="right" vertical="center"/>
    </xf>
    <xf numFmtId="0" fontId="23" fillId="0" borderId="9" xfId="0" applyFont="1" applyFill="1" applyBorder="1" applyAlignment="1">
      <alignment horizontal="right" vertical="center" wrapText="1"/>
    </xf>
    <xf numFmtId="0" fontId="22" fillId="0" borderId="3" xfId="2" applyNumberFormat="1" applyFont="1" applyFill="1" applyBorder="1" applyAlignment="1" applyProtection="1">
      <alignment horizontal="right"/>
      <protection hidden="1"/>
    </xf>
    <xf numFmtId="0" fontId="20" fillId="2" borderId="9" xfId="2" applyNumberFormat="1" applyFont="1" applyFill="1" applyBorder="1" applyAlignment="1" applyProtection="1">
      <alignment horizontal="right"/>
      <protection hidden="1"/>
    </xf>
    <xf numFmtId="0" fontId="22" fillId="0" borderId="1" xfId="2" applyNumberFormat="1" applyFont="1" applyFill="1" applyBorder="1" applyAlignment="1" applyProtection="1">
      <alignment horizontal="right"/>
      <protection hidden="1"/>
    </xf>
    <xf numFmtId="0" fontId="20" fillId="2" borderId="9" xfId="2" applyFont="1" applyFill="1" applyBorder="1" applyAlignment="1">
      <alignment horizontal="right"/>
    </xf>
    <xf numFmtId="0" fontId="22" fillId="0" borderId="4" xfId="0" applyFont="1" applyBorder="1" applyAlignment="1">
      <alignment horizontal="right"/>
    </xf>
    <xf numFmtId="0" fontId="22" fillId="0" borderId="1" xfId="2" applyFont="1" applyBorder="1" applyAlignment="1">
      <alignment horizontal="right"/>
    </xf>
    <xf numFmtId="0" fontId="22" fillId="0" borderId="5" xfId="2" applyFont="1" applyBorder="1" applyAlignment="1">
      <alignment horizontal="right"/>
    </xf>
    <xf numFmtId="0" fontId="20" fillId="2" borderId="10" xfId="2" applyFont="1" applyFill="1" applyBorder="1" applyAlignment="1">
      <alignment horizontal="right"/>
    </xf>
    <xf numFmtId="0" fontId="22" fillId="0" borderId="3" xfId="2" applyFont="1" applyBorder="1" applyAlignment="1">
      <alignment horizontal="right"/>
    </xf>
    <xf numFmtId="0" fontId="22" fillId="0" borderId="15" xfId="2" applyFont="1" applyBorder="1" applyAlignment="1">
      <alignment horizontal="right" wrapText="1"/>
    </xf>
    <xf numFmtId="0" fontId="22" fillId="0" borderId="4" xfId="2" applyFont="1" applyFill="1" applyBorder="1" applyAlignment="1">
      <alignment horizontal="right"/>
    </xf>
    <xf numFmtId="0" fontId="20" fillId="2" borderId="2" xfId="2" applyFont="1" applyFill="1" applyBorder="1" applyAlignment="1">
      <alignment horizontal="right"/>
    </xf>
    <xf numFmtId="49" fontId="20" fillId="0" borderId="9" xfId="0" applyNumberFormat="1" applyFont="1" applyFill="1" applyBorder="1" applyAlignment="1">
      <alignment horizontal="right" vertical="center"/>
    </xf>
    <xf numFmtId="49" fontId="20" fillId="2" borderId="9" xfId="0" applyNumberFormat="1" applyFont="1" applyFill="1" applyBorder="1" applyAlignment="1">
      <alignment horizontal="right" vertical="center"/>
    </xf>
    <xf numFmtId="49" fontId="22" fillId="0" borderId="4" xfId="0" applyNumberFormat="1" applyFont="1" applyFill="1" applyBorder="1" applyAlignment="1">
      <alignment horizontal="right" vertical="center"/>
    </xf>
    <xf numFmtId="0" fontId="6" fillId="0" borderId="1" xfId="0" applyNumberFormat="1" applyFont="1" applyFill="1" applyBorder="1" applyAlignment="1">
      <alignment horizontal="justify" vertical="center" wrapText="1"/>
    </xf>
    <xf numFmtId="0" fontId="6" fillId="0" borderId="5" xfId="0" applyNumberFormat="1" applyFont="1" applyFill="1" applyBorder="1" applyAlignment="1">
      <alignment horizontal="justify" vertical="center" wrapText="1"/>
    </xf>
    <xf numFmtId="4" fontId="24" fillId="0" borderId="33" xfId="0" applyNumberFormat="1" applyFont="1" applyFill="1" applyBorder="1"/>
    <xf numFmtId="0" fontId="17" fillId="0" borderId="41" xfId="0" applyFont="1" applyFill="1" applyBorder="1" applyAlignment="1">
      <alignment horizontal="justify" vertical="center" wrapText="1"/>
    </xf>
    <xf numFmtId="0" fontId="17" fillId="0" borderId="14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justify" wrapText="1"/>
    </xf>
    <xf numFmtId="0" fontId="22" fillId="0" borderId="5" xfId="0" applyFont="1" applyBorder="1" applyAlignment="1">
      <alignment horizontal="justify" wrapText="1"/>
    </xf>
    <xf numFmtId="165" fontId="22" fillId="2" borderId="15" xfId="2" applyNumberFormat="1" applyFont="1" applyFill="1" applyBorder="1"/>
    <xf numFmtId="165" fontId="20" fillId="2" borderId="2" xfId="2" applyNumberFormat="1" applyFont="1" applyFill="1" applyBorder="1" applyAlignment="1" applyProtection="1">
      <alignment horizontal="right" vertical="center"/>
      <protection hidden="1"/>
    </xf>
    <xf numFmtId="165" fontId="22" fillId="0" borderId="12" xfId="2" applyNumberFormat="1" applyFont="1" applyFill="1" applyBorder="1" applyAlignment="1"/>
    <xf numFmtId="165" fontId="20" fillId="2" borderId="9" xfId="2" applyNumberFormat="1" applyFont="1" applyFill="1" applyBorder="1" applyAlignment="1">
      <alignment vertical="center"/>
    </xf>
    <xf numFmtId="165" fontId="22" fillId="0" borderId="11" xfId="2" applyNumberFormat="1" applyFont="1" applyFill="1" applyBorder="1" applyAlignment="1"/>
    <xf numFmtId="165" fontId="22" fillId="0" borderId="12" xfId="2" applyNumberFormat="1" applyFont="1" applyFill="1" applyBorder="1"/>
    <xf numFmtId="165" fontId="22" fillId="0" borderId="18" xfId="2" applyNumberFormat="1" applyFont="1" applyFill="1" applyBorder="1"/>
    <xf numFmtId="165" fontId="22" fillId="0" borderId="11" xfId="2" applyNumberFormat="1" applyFont="1" applyFill="1" applyBorder="1"/>
    <xf numFmtId="165" fontId="22" fillId="0" borderId="17" xfId="2" applyNumberFormat="1" applyFont="1" applyFill="1" applyBorder="1"/>
    <xf numFmtId="165" fontId="22" fillId="0" borderId="7" xfId="2" applyNumberFormat="1" applyFont="1" applyFill="1" applyBorder="1"/>
    <xf numFmtId="165" fontId="20" fillId="0" borderId="12" xfId="2" applyNumberFormat="1" applyFont="1" applyFill="1" applyBorder="1"/>
    <xf numFmtId="49" fontId="14" fillId="0" borderId="3" xfId="0" applyNumberFormat="1" applyFont="1" applyFill="1" applyBorder="1" applyAlignment="1">
      <alignment horizontal="right" vertical="center"/>
    </xf>
    <xf numFmtId="49" fontId="14" fillId="0" borderId="12" xfId="0" applyNumberFormat="1" applyFont="1" applyFill="1" applyBorder="1" applyAlignment="1">
      <alignment horizontal="right" vertical="center"/>
    </xf>
    <xf numFmtId="49" fontId="14" fillId="0" borderId="1" xfId="0" applyNumberFormat="1" applyFont="1" applyFill="1" applyBorder="1" applyAlignment="1">
      <alignment horizontal="right" vertical="center"/>
    </xf>
    <xf numFmtId="0" fontId="6" fillId="0" borderId="3" xfId="2" applyFont="1" applyBorder="1" applyAlignment="1">
      <alignment horizontal="left"/>
    </xf>
    <xf numFmtId="4" fontId="14" fillId="0" borderId="23" xfId="0" applyNumberFormat="1" applyFont="1" applyFill="1" applyBorder="1" applyAlignment="1">
      <alignment horizontal="right"/>
    </xf>
    <xf numFmtId="4" fontId="14" fillId="0" borderId="37" xfId="0" applyNumberFormat="1" applyFont="1" applyFill="1" applyBorder="1" applyAlignment="1">
      <alignment horizontal="right"/>
    </xf>
    <xf numFmtId="4" fontId="14" fillId="0" borderId="33" xfId="0" applyNumberFormat="1" applyFont="1" applyFill="1" applyBorder="1" applyAlignment="1">
      <alignment horizontal="right"/>
    </xf>
    <xf numFmtId="4" fontId="6" fillId="0" borderId="42" xfId="2" applyNumberFormat="1" applyFont="1" applyFill="1" applyBorder="1"/>
    <xf numFmtId="1" fontId="6" fillId="4" borderId="13" xfId="0" applyNumberFormat="1" applyFont="1" applyFill="1" applyBorder="1" applyAlignment="1">
      <alignment horizontal="justify" vertical="center" wrapText="1"/>
    </xf>
    <xf numFmtId="1" fontId="6" fillId="0" borderId="13" xfId="0" applyNumberFormat="1" applyFont="1" applyFill="1" applyBorder="1" applyAlignment="1">
      <alignment horizontal="justify" vertical="center" wrapText="1"/>
    </xf>
    <xf numFmtId="49" fontId="9" fillId="0" borderId="31" xfId="0" applyNumberFormat="1" applyFont="1" applyFill="1" applyBorder="1" applyAlignment="1">
      <alignment horizontal="justify" vertical="center" wrapText="1"/>
    </xf>
    <xf numFmtId="49" fontId="9" fillId="0" borderId="36" xfId="0" applyNumberFormat="1" applyFont="1" applyFill="1" applyBorder="1" applyAlignment="1">
      <alignment horizontal="justify" vertical="center" wrapText="1"/>
    </xf>
    <xf numFmtId="49" fontId="26" fillId="0" borderId="31" xfId="0" applyNumberFormat="1" applyFont="1" applyFill="1" applyBorder="1" applyAlignment="1">
      <alignment horizontal="justify" vertical="center" wrapText="1"/>
    </xf>
    <xf numFmtId="1" fontId="6" fillId="0" borderId="7" xfId="0" applyNumberFormat="1" applyFont="1" applyFill="1" applyBorder="1" applyAlignment="1">
      <alignment horizontal="justify" vertical="center" wrapText="1"/>
    </xf>
    <xf numFmtId="0" fontId="11" fillId="2" borderId="2" xfId="0" applyFont="1" applyFill="1" applyBorder="1" applyAlignment="1">
      <alignment horizontal="justify" vertical="center" wrapText="1"/>
    </xf>
    <xf numFmtId="49" fontId="14" fillId="0" borderId="5" xfId="0" applyNumberFormat="1" applyFont="1" applyFill="1" applyBorder="1" applyAlignment="1">
      <alignment horizontal="justify" wrapText="1"/>
    </xf>
    <xf numFmtId="165" fontId="4" fillId="2" borderId="9" xfId="2" applyNumberFormat="1" applyFont="1" applyFill="1" applyBorder="1" applyAlignment="1" applyProtection="1">
      <alignment horizontal="right" vertical="center"/>
      <protection hidden="1"/>
    </xf>
    <xf numFmtId="165" fontId="4" fillId="2" borderId="24" xfId="0" applyNumberFormat="1" applyFont="1" applyFill="1" applyBorder="1" applyAlignment="1">
      <alignment vertical="center"/>
    </xf>
    <xf numFmtId="165" fontId="6" fillId="5" borderId="24" xfId="2" applyNumberFormat="1" applyFont="1" applyFill="1" applyBorder="1"/>
    <xf numFmtId="4" fontId="4" fillId="2" borderId="45" xfId="2" applyNumberFormat="1" applyFont="1" applyFill="1" applyBorder="1" applyAlignment="1" applyProtection="1">
      <alignment horizontal="right" vertical="center"/>
      <protection hidden="1"/>
    </xf>
    <xf numFmtId="4" fontId="4" fillId="2" borderId="45" xfId="2" applyNumberFormat="1" applyFont="1" applyFill="1" applyBorder="1" applyAlignment="1">
      <alignment vertical="center"/>
    </xf>
    <xf numFmtId="4" fontId="4" fillId="2" borderId="45" xfId="2" applyNumberFormat="1" applyFont="1" applyFill="1" applyBorder="1"/>
    <xf numFmtId="4" fontId="9" fillId="0" borderId="34" xfId="0" applyNumberFormat="1" applyFont="1" applyFill="1" applyBorder="1"/>
    <xf numFmtId="4" fontId="4" fillId="2" borderId="44" xfId="0" applyNumberFormat="1" applyFont="1" applyFill="1" applyBorder="1" applyAlignment="1">
      <alignment vertical="center"/>
    </xf>
    <xf numFmtId="4" fontId="4" fillId="2" borderId="44" xfId="2" applyNumberFormat="1" applyFont="1" applyFill="1" applyBorder="1" applyAlignment="1">
      <alignment vertical="center"/>
    </xf>
    <xf numFmtId="4" fontId="4" fillId="2" borderId="45" xfId="0" applyNumberFormat="1" applyFont="1" applyFill="1" applyBorder="1"/>
    <xf numFmtId="4" fontId="4" fillId="2" borderId="43" xfId="2" applyNumberFormat="1" applyFont="1" applyFill="1" applyBorder="1"/>
    <xf numFmtId="4" fontId="6" fillId="5" borderId="45" xfId="0" applyNumberFormat="1" applyFont="1" applyFill="1" applyBorder="1"/>
    <xf numFmtId="165" fontId="6" fillId="0" borderId="46" xfId="2" applyNumberFormat="1" applyFont="1" applyFill="1" applyBorder="1" applyAlignment="1"/>
    <xf numFmtId="165" fontId="9" fillId="0" borderId="22" xfId="2" applyNumberFormat="1" applyFont="1" applyFill="1" applyBorder="1" applyAlignment="1"/>
    <xf numFmtId="165" fontId="9" fillId="0" borderId="19" xfId="2" applyNumberFormat="1" applyFont="1" applyFill="1" applyBorder="1" applyAlignment="1"/>
    <xf numFmtId="165" fontId="9" fillId="0" borderId="27" xfId="2" applyNumberFormat="1" applyFont="1" applyFill="1" applyBorder="1" applyAlignment="1"/>
    <xf numFmtId="165" fontId="9" fillId="0" borderId="19" xfId="0" applyNumberFormat="1" applyFont="1" applyBorder="1" applyAlignment="1"/>
    <xf numFmtId="165" fontId="6" fillId="0" borderId="19" xfId="2" applyNumberFormat="1" applyFont="1" applyFill="1" applyBorder="1" applyAlignment="1"/>
    <xf numFmtId="165" fontId="9" fillId="0" borderId="20" xfId="2" applyNumberFormat="1" applyFont="1" applyFill="1" applyBorder="1" applyAlignment="1"/>
    <xf numFmtId="165" fontId="9" fillId="0" borderId="25" xfId="2" applyNumberFormat="1" applyFont="1" applyFill="1" applyBorder="1" applyAlignment="1"/>
    <xf numFmtId="165" fontId="6" fillId="0" borderId="46" xfId="2" applyNumberFormat="1" applyFont="1" applyFill="1" applyBorder="1"/>
    <xf numFmtId="165" fontId="6" fillId="0" borderId="19" xfId="2" applyNumberFormat="1" applyFont="1" applyFill="1" applyBorder="1"/>
    <xf numFmtId="165" fontId="9" fillId="0" borderId="20" xfId="2" applyNumberFormat="1" applyFont="1" applyFill="1" applyBorder="1"/>
    <xf numFmtId="165" fontId="6" fillId="0" borderId="20" xfId="2" applyNumberFormat="1" applyFont="1" applyFill="1" applyBorder="1"/>
    <xf numFmtId="165" fontId="9" fillId="0" borderId="19" xfId="2" applyNumberFormat="1" applyFont="1" applyFill="1" applyBorder="1"/>
    <xf numFmtId="165" fontId="9" fillId="0" borderId="25" xfId="2" applyNumberFormat="1" applyFont="1" applyFill="1" applyBorder="1"/>
    <xf numFmtId="165" fontId="9" fillId="0" borderId="46" xfId="2" applyNumberFormat="1" applyFont="1" applyFill="1" applyBorder="1"/>
    <xf numFmtId="165" fontId="9" fillId="0" borderId="27" xfId="2" applyNumberFormat="1" applyFont="1" applyFill="1" applyBorder="1"/>
    <xf numFmtId="165" fontId="9" fillId="0" borderId="21" xfId="2" applyNumberFormat="1" applyFont="1" applyFill="1" applyBorder="1"/>
    <xf numFmtId="165" fontId="4" fillId="2" borderId="25" xfId="2" applyNumberFormat="1" applyFont="1" applyFill="1" applyBorder="1" applyAlignment="1">
      <alignment vertical="center"/>
    </xf>
    <xf numFmtId="165" fontId="6" fillId="0" borderId="28" xfId="2" applyNumberFormat="1" applyFont="1" applyFill="1" applyBorder="1"/>
    <xf numFmtId="165" fontId="6" fillId="0" borderId="19" xfId="0" applyNumberFormat="1" applyFont="1" applyFill="1" applyBorder="1"/>
    <xf numFmtId="165" fontId="6" fillId="0" borderId="27" xfId="2" applyNumberFormat="1" applyFont="1" applyFill="1" applyBorder="1"/>
    <xf numFmtId="165" fontId="6" fillId="4" borderId="21" xfId="2" applyNumberFormat="1" applyFont="1" applyFill="1" applyBorder="1"/>
    <xf numFmtId="165" fontId="9" fillId="0" borderId="22" xfId="2" applyNumberFormat="1" applyFont="1" applyFill="1" applyBorder="1"/>
    <xf numFmtId="165" fontId="6" fillId="0" borderId="22" xfId="2" applyNumberFormat="1" applyFont="1" applyFill="1" applyBorder="1"/>
    <xf numFmtId="165" fontId="6" fillId="4" borderId="22" xfId="2" applyNumberFormat="1" applyFont="1" applyFill="1" applyBorder="1"/>
    <xf numFmtId="165" fontId="9" fillId="4" borderId="22" xfId="2" applyNumberFormat="1" applyFont="1" applyFill="1" applyBorder="1"/>
    <xf numFmtId="165" fontId="6" fillId="4" borderId="46" xfId="2" applyNumberFormat="1" applyFont="1" applyFill="1" applyBorder="1"/>
    <xf numFmtId="165" fontId="6" fillId="4" borderId="19" xfId="2" applyNumberFormat="1" applyFont="1" applyFill="1" applyBorder="1"/>
    <xf numFmtId="165" fontId="9" fillId="0" borderId="19" xfId="0" applyNumberFormat="1" applyFont="1" applyFill="1" applyBorder="1"/>
    <xf numFmtId="165" fontId="9" fillId="0" borderId="20" xfId="0" applyNumberFormat="1" applyFont="1" applyFill="1" applyBorder="1"/>
    <xf numFmtId="165" fontId="24" fillId="0" borderId="20" xfId="2" applyNumberFormat="1" applyFont="1" applyFill="1" applyBorder="1"/>
    <xf numFmtId="165" fontId="6" fillId="4" borderId="28" xfId="2" applyNumberFormat="1" applyFont="1" applyFill="1" applyBorder="1"/>
    <xf numFmtId="165" fontId="14" fillId="0" borderId="19" xfId="0" applyNumberFormat="1" applyFont="1" applyFill="1" applyBorder="1"/>
    <xf numFmtId="165" fontId="14" fillId="0" borderId="19" xfId="2" applyNumberFormat="1" applyFont="1" applyFill="1" applyBorder="1"/>
    <xf numFmtId="165" fontId="14" fillId="0" borderId="21" xfId="0" applyNumberFormat="1" applyFont="1" applyFill="1" applyBorder="1"/>
    <xf numFmtId="165" fontId="14" fillId="0" borderId="20" xfId="2" applyNumberFormat="1" applyFont="1" applyFill="1" applyBorder="1"/>
    <xf numFmtId="165" fontId="14" fillId="0" borderId="27" xfId="2" applyNumberFormat="1" applyFont="1" applyFill="1" applyBorder="1"/>
    <xf numFmtId="165" fontId="25" fillId="0" borderId="20" xfId="0" applyNumberFormat="1" applyFont="1" applyFill="1" applyBorder="1"/>
    <xf numFmtId="165" fontId="6" fillId="0" borderId="16" xfId="2" applyNumberFormat="1" applyFont="1" applyFill="1" applyBorder="1"/>
    <xf numFmtId="49" fontId="10" fillId="0" borderId="38" xfId="0" applyNumberFormat="1" applyFont="1" applyBorder="1" applyAlignment="1">
      <alignment horizontal="right" vertical="center" wrapText="1"/>
    </xf>
    <xf numFmtId="165" fontId="9" fillId="2" borderId="38" xfId="2" applyNumberFormat="1" applyFont="1" applyFill="1" applyBorder="1"/>
    <xf numFmtId="4" fontId="9" fillId="0" borderId="38" xfId="0" applyNumberFormat="1" applyFont="1" applyFill="1" applyBorder="1"/>
    <xf numFmtId="0" fontId="19" fillId="0" borderId="0" xfId="2" applyFont="1" applyAlignment="1" applyProtection="1">
      <alignment horizontal="center" wrapText="1"/>
      <protection hidden="1"/>
    </xf>
    <xf numFmtId="44" fontId="19" fillId="0" borderId="0" xfId="1" applyFont="1" applyAlignment="1" applyProtection="1">
      <alignment horizontal="center" wrapText="1"/>
      <protection hidden="1"/>
    </xf>
    <xf numFmtId="0" fontId="4" fillId="0" borderId="8" xfId="2" applyNumberFormat="1" applyFont="1" applyFill="1" applyBorder="1" applyAlignment="1" applyProtection="1">
      <alignment horizontal="center" vertical="center" wrapText="1"/>
      <protection hidden="1"/>
    </xf>
    <xf numFmtId="0" fontId="4" fillId="0" borderId="6" xfId="2" applyNumberFormat="1" applyFont="1" applyFill="1" applyBorder="1" applyAlignment="1" applyProtection="1">
      <alignment horizontal="center" vertical="center" wrapText="1"/>
      <protection hidden="1"/>
    </xf>
    <xf numFmtId="4" fontId="6" fillId="2" borderId="10" xfId="2" applyNumberFormat="1" applyFont="1" applyFill="1" applyBorder="1" applyAlignment="1">
      <alignment horizontal="center" vertical="center" wrapText="1"/>
    </xf>
    <xf numFmtId="4" fontId="6" fillId="2" borderId="24" xfId="2" applyNumberFormat="1" applyFont="1" applyFill="1" applyBorder="1" applyAlignment="1">
      <alignment horizontal="center" vertical="center" wrapText="1"/>
    </xf>
    <xf numFmtId="4" fontId="6" fillId="2" borderId="14" xfId="0" applyNumberFormat="1" applyFont="1" applyFill="1" applyBorder="1" applyAlignment="1">
      <alignment horizontal="center" vertical="center" wrapText="1"/>
    </xf>
    <xf numFmtId="4" fontId="6" fillId="2" borderId="15" xfId="0" applyNumberFormat="1" applyFont="1" applyFill="1" applyBorder="1" applyAlignment="1">
      <alignment horizontal="center" vertical="center" wrapText="1"/>
    </xf>
    <xf numFmtId="4" fontId="6" fillId="2" borderId="43" xfId="2" applyNumberFormat="1" applyFont="1" applyFill="1" applyBorder="1" applyAlignment="1">
      <alignment horizontal="center" vertical="center" wrapText="1"/>
    </xf>
    <xf numFmtId="4" fontId="6" fillId="2" borderId="44" xfId="2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9" fillId="0" borderId="0" xfId="0" applyFont="1"/>
    <xf numFmtId="0" fontId="29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0" fontId="30" fillId="0" borderId="28" xfId="0" applyFont="1" applyFill="1" applyBorder="1" applyAlignment="1">
      <alignment horizontal="center" vertical="center" wrapText="1"/>
    </xf>
    <xf numFmtId="0" fontId="30" fillId="0" borderId="47" xfId="0" applyFont="1" applyFill="1" applyBorder="1" applyAlignment="1">
      <alignment horizontal="center" vertical="center" wrapText="1"/>
    </xf>
    <xf numFmtId="0" fontId="30" fillId="0" borderId="48" xfId="0" applyFont="1" applyFill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30" fillId="0" borderId="42" xfId="0" applyFont="1" applyFill="1" applyBorder="1" applyAlignment="1">
      <alignment horizontal="center" vertical="center" wrapText="1"/>
    </xf>
    <xf numFmtId="0" fontId="30" fillId="0" borderId="0" xfId="0" applyFont="1" applyFill="1"/>
    <xf numFmtId="0" fontId="12" fillId="0" borderId="21" xfId="0" applyFont="1" applyBorder="1" applyAlignment="1">
      <alignment horizontal="center" vertical="center" wrapText="1"/>
    </xf>
    <xf numFmtId="0" fontId="30" fillId="0" borderId="50" xfId="0" applyFont="1" applyFill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30" fillId="0" borderId="38" xfId="0" applyFont="1" applyFill="1" applyBorder="1" applyAlignment="1">
      <alignment horizontal="center" vertical="center" wrapText="1"/>
    </xf>
    <xf numFmtId="0" fontId="30" fillId="0" borderId="31" xfId="0" applyFont="1" applyFill="1" applyBorder="1" applyAlignment="1">
      <alignment horizontal="center" vertical="center" wrapText="1"/>
    </xf>
    <xf numFmtId="0" fontId="30" fillId="0" borderId="51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30" fillId="0" borderId="52" xfId="0" applyFont="1" applyFill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30" fillId="0" borderId="53" xfId="0" applyFont="1" applyFill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 wrapText="1"/>
    </xf>
    <xf numFmtId="0" fontId="30" fillId="0" borderId="54" xfId="0" applyFont="1" applyFill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31" fillId="0" borderId="56" xfId="0" applyFont="1" applyBorder="1" applyAlignment="1">
      <alignment horizontal="center" vertical="center" wrapText="1"/>
    </xf>
    <xf numFmtId="0" fontId="31" fillId="0" borderId="57" xfId="0" applyFont="1" applyBorder="1" applyAlignment="1">
      <alignment horizontal="center" vertical="center" wrapText="1"/>
    </xf>
    <xf numFmtId="0" fontId="31" fillId="0" borderId="58" xfId="0" applyFont="1" applyBorder="1" applyAlignment="1">
      <alignment horizontal="center" vertical="center" wrapText="1"/>
    </xf>
    <xf numFmtId="0" fontId="30" fillId="6" borderId="19" xfId="0" applyFont="1" applyFill="1" applyBorder="1" applyAlignment="1">
      <alignment horizontal="center" vertical="center" wrapText="1"/>
    </xf>
    <xf numFmtId="49" fontId="30" fillId="6" borderId="59" xfId="0" applyNumberFormat="1" applyFont="1" applyFill="1" applyBorder="1" applyAlignment="1">
      <alignment horizontal="center" vertical="center" wrapText="1"/>
    </xf>
    <xf numFmtId="166" fontId="30" fillId="6" borderId="59" xfId="0" applyNumberFormat="1" applyFont="1" applyFill="1" applyBorder="1" applyAlignment="1">
      <alignment horizontal="center" vertical="center" wrapText="1"/>
    </xf>
    <xf numFmtId="167" fontId="30" fillId="6" borderId="59" xfId="0" applyNumberFormat="1" applyFont="1" applyFill="1" applyBorder="1" applyAlignment="1">
      <alignment horizontal="center" vertical="center" wrapText="1"/>
    </xf>
    <xf numFmtId="167" fontId="30" fillId="6" borderId="60" xfId="0" applyNumberFormat="1" applyFont="1" applyFill="1" applyBorder="1" applyAlignment="1">
      <alignment horizontal="center" vertical="center" wrapText="1"/>
    </xf>
    <xf numFmtId="167" fontId="30" fillId="6" borderId="51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29" fillId="3" borderId="19" xfId="0" applyFont="1" applyFill="1" applyBorder="1" applyAlignment="1">
      <alignment horizontal="left" vertical="center" wrapText="1"/>
    </xf>
    <xf numFmtId="49" fontId="29" fillId="3" borderId="59" xfId="0" applyNumberFormat="1" applyFont="1" applyFill="1" applyBorder="1" applyAlignment="1">
      <alignment horizontal="center" vertical="center" wrapText="1"/>
    </xf>
    <xf numFmtId="49" fontId="29" fillId="0" borderId="59" xfId="0" applyNumberFormat="1" applyFont="1" applyBorder="1" applyAlignment="1">
      <alignment horizontal="center" vertical="center" wrapText="1"/>
    </xf>
    <xf numFmtId="166" fontId="32" fillId="0" borderId="59" xfId="0" applyNumberFormat="1" applyFont="1" applyFill="1" applyBorder="1" applyAlignment="1">
      <alignment horizontal="center" vertical="center" wrapText="1"/>
    </xf>
    <xf numFmtId="167" fontId="32" fillId="0" borderId="59" xfId="0" applyNumberFormat="1" applyFont="1" applyFill="1" applyBorder="1" applyAlignment="1">
      <alignment horizontal="center" vertical="center" wrapText="1"/>
    </xf>
    <xf numFmtId="167" fontId="32" fillId="0" borderId="60" xfId="0" applyNumberFormat="1" applyFont="1" applyFill="1" applyBorder="1" applyAlignment="1">
      <alignment horizontal="center" vertical="center" wrapText="1"/>
    </xf>
    <xf numFmtId="167" fontId="32" fillId="0" borderId="51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29" fillId="0" borderId="19" xfId="0" applyFont="1" applyBorder="1" applyAlignment="1">
      <alignment horizontal="left" vertical="center" wrapText="1"/>
    </xf>
    <xf numFmtId="166" fontId="29" fillId="0" borderId="59" xfId="0" applyNumberFormat="1" applyFont="1" applyFill="1" applyBorder="1" applyAlignment="1">
      <alignment horizontal="center" vertical="center" wrapText="1"/>
    </xf>
    <xf numFmtId="0" fontId="32" fillId="4" borderId="19" xfId="0" applyFont="1" applyFill="1" applyBorder="1" applyAlignment="1">
      <alignment horizontal="left" vertical="center" wrapText="1"/>
    </xf>
    <xf numFmtId="49" fontId="32" fillId="4" borderId="59" xfId="0" applyNumberFormat="1" applyFont="1" applyFill="1" applyBorder="1" applyAlignment="1">
      <alignment horizontal="center" vertical="center" wrapText="1"/>
    </xf>
    <xf numFmtId="166" fontId="32" fillId="4" borderId="59" xfId="0" applyNumberFormat="1" applyFont="1" applyFill="1" applyBorder="1" applyAlignment="1">
      <alignment horizontal="center" vertical="center" wrapText="1"/>
    </xf>
    <xf numFmtId="167" fontId="32" fillId="4" borderId="60" xfId="0" applyNumberFormat="1" applyFont="1" applyFill="1" applyBorder="1" applyAlignment="1">
      <alignment horizontal="center" vertical="center" wrapText="1"/>
    </xf>
    <xf numFmtId="167" fontId="30" fillId="4" borderId="51" xfId="0" applyNumberFormat="1" applyFont="1" applyFill="1" applyBorder="1" applyAlignment="1">
      <alignment horizontal="center" vertical="center" wrapText="1"/>
    </xf>
    <xf numFmtId="167" fontId="30" fillId="4" borderId="59" xfId="0" applyNumberFormat="1" applyFont="1" applyFill="1" applyBorder="1" applyAlignment="1">
      <alignment horizontal="center" vertical="center" wrapText="1"/>
    </xf>
    <xf numFmtId="167" fontId="30" fillId="4" borderId="60" xfId="0" applyNumberFormat="1" applyFont="1" applyFill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167" fontId="33" fillId="7" borderId="60" xfId="0" applyNumberFormat="1" applyFont="1" applyFill="1" applyBorder="1" applyAlignment="1">
      <alignment horizontal="center" vertical="center" wrapText="1"/>
    </xf>
    <xf numFmtId="0" fontId="29" fillId="0" borderId="19" xfId="0" applyFont="1" applyBorder="1" applyAlignment="1">
      <alignment horizontal="justify" vertical="center" wrapText="1"/>
    </xf>
    <xf numFmtId="0" fontId="29" fillId="0" borderId="0" xfId="0" applyFont="1" applyFill="1" applyAlignment="1">
      <alignment vertical="center"/>
    </xf>
    <xf numFmtId="0" fontId="29" fillId="0" borderId="0" xfId="0" applyFont="1" applyBorder="1" applyAlignment="1">
      <alignment vertical="center"/>
    </xf>
    <xf numFmtId="49" fontId="33" fillId="6" borderId="59" xfId="0" applyNumberFormat="1" applyFont="1" applyFill="1" applyBorder="1" applyAlignment="1">
      <alignment horizontal="center" vertical="center" wrapText="1"/>
    </xf>
    <xf numFmtId="167" fontId="33" fillId="6" borderId="60" xfId="0" applyNumberFormat="1" applyFont="1" applyFill="1" applyBorder="1" applyAlignment="1">
      <alignment horizontal="center" vertical="center" wrapText="1"/>
    </xf>
    <xf numFmtId="0" fontId="30" fillId="6" borderId="59" xfId="0" applyFont="1" applyFill="1" applyBorder="1" applyAlignment="1">
      <alignment horizontal="center" vertical="center" wrapText="1"/>
    </xf>
    <xf numFmtId="167" fontId="32" fillId="7" borderId="60" xfId="0" applyNumberFormat="1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left" vertical="center" wrapText="1"/>
    </xf>
    <xf numFmtId="0" fontId="32" fillId="0" borderId="59" xfId="0" applyFont="1" applyFill="1" applyBorder="1" applyAlignment="1">
      <alignment horizontal="center" vertical="center" wrapText="1"/>
    </xf>
    <xf numFmtId="49" fontId="32" fillId="0" borderId="59" xfId="0" applyNumberFormat="1" applyFont="1" applyFill="1" applyBorder="1" applyAlignment="1">
      <alignment horizontal="center" vertical="center" wrapText="1"/>
    </xf>
    <xf numFmtId="0" fontId="32" fillId="3" borderId="19" xfId="0" applyFont="1" applyFill="1" applyBorder="1" applyAlignment="1">
      <alignment horizontal="left" vertical="center" wrapText="1"/>
    </xf>
    <xf numFmtId="0" fontId="32" fillId="3" borderId="59" xfId="0" applyFont="1" applyFill="1" applyBorder="1" applyAlignment="1">
      <alignment horizontal="center" vertical="center" wrapText="1"/>
    </xf>
    <xf numFmtId="166" fontId="29" fillId="3" borderId="59" xfId="0" applyNumberFormat="1" applyFont="1" applyFill="1" applyBorder="1" applyAlignment="1">
      <alignment horizontal="center" vertical="center" wrapText="1"/>
    </xf>
    <xf numFmtId="166" fontId="32" fillId="3" borderId="59" xfId="0" applyNumberFormat="1" applyFont="1" applyFill="1" applyBorder="1" applyAlignment="1">
      <alignment horizontal="center" vertical="center" wrapText="1"/>
    </xf>
    <xf numFmtId="0" fontId="29" fillId="0" borderId="59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left" vertical="center" wrapText="1"/>
    </xf>
    <xf numFmtId="0" fontId="29" fillId="0" borderId="38" xfId="0" applyFont="1" applyBorder="1" applyAlignment="1">
      <alignment horizontal="center" vertical="center" wrapText="1"/>
    </xf>
    <xf numFmtId="49" fontId="29" fillId="0" borderId="38" xfId="0" applyNumberFormat="1" applyFont="1" applyBorder="1" applyAlignment="1">
      <alignment horizontal="center" vertical="center" wrapText="1"/>
    </xf>
    <xf numFmtId="166" fontId="29" fillId="0" borderId="38" xfId="0" applyNumberFormat="1" applyFont="1" applyFill="1" applyBorder="1" applyAlignment="1">
      <alignment horizontal="center" vertical="center" wrapText="1"/>
    </xf>
    <xf numFmtId="166" fontId="32" fillId="0" borderId="38" xfId="0" applyNumberFormat="1" applyFont="1" applyFill="1" applyBorder="1" applyAlignment="1">
      <alignment horizontal="center" vertical="center" wrapText="1"/>
    </xf>
    <xf numFmtId="167" fontId="32" fillId="0" borderId="38" xfId="0" applyNumberFormat="1" applyFont="1" applyFill="1" applyBorder="1" applyAlignment="1">
      <alignment horizontal="center" vertical="center" wrapText="1"/>
    </xf>
    <xf numFmtId="167" fontId="32" fillId="0" borderId="61" xfId="0" applyNumberFormat="1" applyFont="1" applyFill="1" applyBorder="1" applyAlignment="1">
      <alignment horizontal="center" vertical="center" wrapText="1"/>
    </xf>
    <xf numFmtId="0" fontId="33" fillId="7" borderId="19" xfId="0" applyFont="1" applyFill="1" applyBorder="1" applyAlignment="1">
      <alignment horizontal="center" vertical="center" wrapText="1"/>
    </xf>
    <xf numFmtId="166" fontId="33" fillId="7" borderId="59" xfId="0" applyNumberFormat="1" applyFont="1" applyFill="1" applyBorder="1" applyAlignment="1">
      <alignment horizontal="center" vertical="center" wrapText="1"/>
    </xf>
    <xf numFmtId="167" fontId="33" fillId="7" borderId="38" xfId="0" applyNumberFormat="1" applyFont="1" applyFill="1" applyBorder="1" applyAlignment="1">
      <alignment horizontal="center" vertical="center" wrapText="1"/>
    </xf>
    <xf numFmtId="167" fontId="32" fillId="0" borderId="62" xfId="0" applyNumberFormat="1" applyFont="1" applyFill="1" applyBorder="1" applyAlignment="1">
      <alignment horizontal="center" vertical="center" wrapText="1"/>
    </xf>
    <xf numFmtId="167" fontId="32" fillId="0" borderId="50" xfId="0" applyNumberFormat="1" applyFont="1" applyFill="1" applyBorder="1" applyAlignment="1">
      <alignment horizontal="center" vertical="center" wrapText="1"/>
    </xf>
    <xf numFmtId="167" fontId="32" fillId="0" borderId="63" xfId="0" applyNumberFormat="1" applyFont="1" applyFill="1" applyBorder="1" applyAlignment="1">
      <alignment horizontal="center" vertical="center" wrapText="1"/>
    </xf>
    <xf numFmtId="0" fontId="32" fillId="0" borderId="19" xfId="0" applyFont="1" applyBorder="1" applyAlignment="1">
      <alignment horizontal="left" vertical="center" wrapText="1"/>
    </xf>
    <xf numFmtId="0" fontId="32" fillId="4" borderId="59" xfId="0" applyFont="1" applyFill="1" applyBorder="1" applyAlignment="1">
      <alignment horizontal="center" vertical="center" wrapText="1"/>
    </xf>
    <xf numFmtId="167" fontId="32" fillId="4" borderId="38" xfId="0" applyNumberFormat="1" applyFont="1" applyFill="1" applyBorder="1" applyAlignment="1">
      <alignment horizontal="center" vertical="center" wrapText="1"/>
    </xf>
    <xf numFmtId="0" fontId="30" fillId="6" borderId="16" xfId="0" applyFont="1" applyFill="1" applyBorder="1" applyAlignment="1">
      <alignment horizontal="center" vertical="center" wrapText="1"/>
    </xf>
    <xf numFmtId="0" fontId="30" fillId="6" borderId="64" xfId="0" applyFont="1" applyFill="1" applyBorder="1" applyAlignment="1">
      <alignment horizontal="center" vertical="center" wrapText="1"/>
    </xf>
    <xf numFmtId="166" fontId="30" fillId="6" borderId="64" xfId="0" applyNumberFormat="1" applyFont="1" applyFill="1" applyBorder="1" applyAlignment="1">
      <alignment horizontal="center" vertical="center" wrapText="1"/>
    </xf>
    <xf numFmtId="167" fontId="30" fillId="6" borderId="64" xfId="0" applyNumberFormat="1" applyFont="1" applyFill="1" applyBorder="1" applyAlignment="1">
      <alignment horizontal="center" vertical="center" wrapText="1"/>
    </xf>
    <xf numFmtId="167" fontId="30" fillId="6" borderId="65" xfId="0" applyNumberFormat="1" applyFont="1" applyFill="1" applyBorder="1" applyAlignment="1">
      <alignment horizontal="center" vertical="center" wrapText="1"/>
    </xf>
    <xf numFmtId="167" fontId="30" fillId="6" borderId="66" xfId="0" applyNumberFormat="1" applyFont="1" applyFill="1" applyBorder="1" applyAlignment="1">
      <alignment horizontal="center" vertical="center" wrapText="1"/>
    </xf>
    <xf numFmtId="168" fontId="30" fillId="0" borderId="0" xfId="0" applyNumberFormat="1" applyFont="1" applyFill="1" applyBorder="1" applyAlignment="1">
      <alignment horizontal="center" vertical="center" wrapText="1"/>
    </xf>
    <xf numFmtId="168" fontId="29" fillId="0" borderId="0" xfId="0" applyNumberFormat="1" applyFont="1" applyBorder="1" applyAlignment="1">
      <alignment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168" fontId="29" fillId="0" borderId="0" xfId="0" applyNumberFormat="1" applyFont="1" applyAlignment="1">
      <alignment vertical="center" wrapText="1"/>
    </xf>
    <xf numFmtId="0" fontId="34" fillId="0" borderId="0" xfId="0" applyFont="1" applyAlignment="1">
      <alignment horizontal="center" vertical="center" wrapText="1"/>
    </xf>
    <xf numFmtId="168" fontId="34" fillId="0" borderId="0" xfId="0" applyNumberFormat="1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0" xfId="0" applyNumberFormat="1" applyFont="1" applyAlignment="1"/>
  </cellXfs>
  <cellStyles count="3">
    <cellStyle name="Денежный" xfId="1" builtinId="4"/>
    <cellStyle name="Обычный" xfId="0" builtinId="0"/>
    <cellStyle name="Обычный_Tmp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0"/>
  <sheetViews>
    <sheetView view="pageBreakPreview" zoomScale="59" zoomScaleNormal="63" zoomScaleSheetLayoutView="59" workbookViewId="0">
      <pane xSplit="5" ySplit="6" topLeftCell="F7" activePane="bottomRight" state="frozen"/>
      <selection pane="topRight" activeCell="H1" sqref="H1"/>
      <selection pane="bottomLeft" activeCell="A7" sqref="A7"/>
      <selection pane="bottomRight" activeCell="C41" sqref="C41"/>
    </sheetView>
  </sheetViews>
  <sheetFormatPr defaultRowHeight="13.2" x14ac:dyDescent="0.25"/>
  <cols>
    <col min="1" max="1" width="35" customWidth="1"/>
    <col min="2" max="2" width="111" customWidth="1"/>
    <col min="3" max="3" width="21.6640625" customWidth="1"/>
    <col min="4" max="4" width="21.6640625" style="204" customWidth="1"/>
    <col min="5" max="5" width="20.44140625" customWidth="1"/>
  </cols>
  <sheetData>
    <row r="1" spans="1:5" ht="18.75" customHeight="1" x14ac:dyDescent="0.35">
      <c r="A1" s="343" t="s">
        <v>144</v>
      </c>
      <c r="B1" s="343"/>
      <c r="C1" s="343"/>
      <c r="D1" s="343"/>
      <c r="E1" s="343"/>
    </row>
    <row r="2" spans="1:5" ht="15" customHeight="1" x14ac:dyDescent="0.35">
      <c r="A2" s="343" t="s">
        <v>145</v>
      </c>
      <c r="B2" s="343"/>
      <c r="C2" s="343"/>
      <c r="D2" s="343"/>
      <c r="E2" s="343"/>
    </row>
    <row r="3" spans="1:5" ht="17.25" customHeight="1" x14ac:dyDescent="0.35">
      <c r="A3" s="344" t="s">
        <v>486</v>
      </c>
      <c r="B3" s="344"/>
      <c r="C3" s="344"/>
      <c r="D3" s="344"/>
      <c r="E3" s="344"/>
    </row>
    <row r="4" spans="1:5" ht="21" customHeight="1" thickBot="1" x14ac:dyDescent="0.4">
      <c r="A4" s="3"/>
      <c r="B4" s="1"/>
      <c r="C4" s="2"/>
      <c r="D4" s="202"/>
      <c r="E4" s="73" t="s">
        <v>146</v>
      </c>
    </row>
    <row r="5" spans="1:5" ht="19.5" customHeight="1" x14ac:dyDescent="0.25">
      <c r="A5" s="345" t="s">
        <v>34</v>
      </c>
      <c r="B5" s="345" t="s">
        <v>60</v>
      </c>
      <c r="C5" s="347" t="s">
        <v>172</v>
      </c>
      <c r="D5" s="347" t="s">
        <v>487</v>
      </c>
      <c r="E5" s="347" t="s">
        <v>171</v>
      </c>
    </row>
    <row r="6" spans="1:5" ht="55.5" customHeight="1" thickBot="1" x14ac:dyDescent="0.3">
      <c r="A6" s="346"/>
      <c r="B6" s="346"/>
      <c r="C6" s="348"/>
      <c r="D6" s="348"/>
      <c r="E6" s="348"/>
    </row>
    <row r="7" spans="1:5" ht="22.5" customHeight="1" thickBot="1" x14ac:dyDescent="0.3">
      <c r="A7" s="124"/>
      <c r="B7" s="125" t="s">
        <v>23</v>
      </c>
      <c r="C7" s="126">
        <f>SUM(C8,C9,C13,C17:C19,C26,C28:C29,C37:C39)</f>
        <v>6466690.0990000013</v>
      </c>
      <c r="D7" s="263">
        <f>SUM(D8,D9,D13,D17,D18,D19,D26,D28,D29,D37,D39)</f>
        <v>5357771.4220000003</v>
      </c>
      <c r="E7" s="127">
        <f t="shared" ref="E7:E17" si="0">D7/C7*100</f>
        <v>82.851835173430032</v>
      </c>
    </row>
    <row r="8" spans="1:5" ht="24.75" customHeight="1" thickBot="1" x14ac:dyDescent="0.4">
      <c r="A8" s="240" t="s">
        <v>36</v>
      </c>
      <c r="B8" s="128" t="s">
        <v>59</v>
      </c>
      <c r="C8" s="129">
        <v>4086599.9</v>
      </c>
      <c r="D8" s="264">
        <v>3235007.3930000002</v>
      </c>
      <c r="E8" s="130">
        <f t="shared" si="0"/>
        <v>79.161343712654627</v>
      </c>
    </row>
    <row r="9" spans="1:5" ht="24.75" customHeight="1" thickBot="1" x14ac:dyDescent="0.35">
      <c r="A9" s="241" t="s">
        <v>37</v>
      </c>
      <c r="B9" s="131" t="s">
        <v>24</v>
      </c>
      <c r="C9" s="132">
        <f>SUM(C10:C12)</f>
        <v>756553</v>
      </c>
      <c r="D9" s="265">
        <f>SUM(D10,D11,D12)</f>
        <v>746133.92</v>
      </c>
      <c r="E9" s="133">
        <f t="shared" si="0"/>
        <v>98.62282219487598</v>
      </c>
    </row>
    <row r="10" spans="1:5" ht="24" customHeight="1" x14ac:dyDescent="0.35">
      <c r="A10" s="240" t="s">
        <v>39</v>
      </c>
      <c r="B10" s="134" t="s">
        <v>38</v>
      </c>
      <c r="C10" s="129">
        <v>469447</v>
      </c>
      <c r="D10" s="264">
        <v>461002.64199999999</v>
      </c>
      <c r="E10" s="130">
        <f t="shared" si="0"/>
        <v>98.201211638374502</v>
      </c>
    </row>
    <row r="11" spans="1:5" ht="24" customHeight="1" x14ac:dyDescent="0.35">
      <c r="A11" s="242" t="s">
        <v>40</v>
      </c>
      <c r="B11" s="135" t="s">
        <v>25</v>
      </c>
      <c r="C11" s="136">
        <v>286550</v>
      </c>
      <c r="D11" s="266">
        <v>284568.56300000002</v>
      </c>
      <c r="E11" s="137">
        <f t="shared" si="0"/>
        <v>99.308519630082017</v>
      </c>
    </row>
    <row r="12" spans="1:5" ht="20.25" customHeight="1" thickBot="1" x14ac:dyDescent="0.4">
      <c r="A12" s="242" t="s">
        <v>61</v>
      </c>
      <c r="B12" s="135" t="s">
        <v>62</v>
      </c>
      <c r="C12" s="129">
        <v>556</v>
      </c>
      <c r="D12" s="264">
        <v>562.71500000000003</v>
      </c>
      <c r="E12" s="130">
        <f t="shared" si="0"/>
        <v>101.20773381294966</v>
      </c>
    </row>
    <row r="13" spans="1:5" ht="19.5" customHeight="1" thickBot="1" x14ac:dyDescent="0.35">
      <c r="A13" s="243" t="s">
        <v>41</v>
      </c>
      <c r="B13" s="131" t="s">
        <v>26</v>
      </c>
      <c r="C13" s="132">
        <f>SUM(C14:C16)</f>
        <v>568012.98</v>
      </c>
      <c r="D13" s="265">
        <f>SUM(D14,D15,D16)</f>
        <v>460529.92799999996</v>
      </c>
      <c r="E13" s="133">
        <f t="shared" si="0"/>
        <v>81.077359887092712</v>
      </c>
    </row>
    <row r="14" spans="1:5" ht="35.25" customHeight="1" x14ac:dyDescent="0.35">
      <c r="A14" s="244" t="s">
        <v>42</v>
      </c>
      <c r="B14" s="134" t="s">
        <v>378</v>
      </c>
      <c r="C14" s="139">
        <v>64000</v>
      </c>
      <c r="D14" s="267">
        <v>37545.964</v>
      </c>
      <c r="E14" s="140">
        <f t="shared" si="0"/>
        <v>58.665568749999998</v>
      </c>
    </row>
    <row r="15" spans="1:5" ht="24" customHeight="1" x14ac:dyDescent="0.35">
      <c r="A15" s="245" t="s">
        <v>43</v>
      </c>
      <c r="B15" s="135" t="s">
        <v>44</v>
      </c>
      <c r="C15" s="141">
        <v>367347</v>
      </c>
      <c r="D15" s="267">
        <v>317313.946</v>
      </c>
      <c r="E15" s="142">
        <f t="shared" si="0"/>
        <v>86.379893125573375</v>
      </c>
    </row>
    <row r="16" spans="1:5" ht="24" customHeight="1" thickBot="1" x14ac:dyDescent="0.4">
      <c r="A16" s="246" t="s">
        <v>45</v>
      </c>
      <c r="B16" s="143" t="s">
        <v>27</v>
      </c>
      <c r="C16" s="144">
        <v>136665.98000000001</v>
      </c>
      <c r="D16" s="267">
        <v>105670.018</v>
      </c>
      <c r="E16" s="145">
        <f t="shared" si="0"/>
        <v>77.319913851274464</v>
      </c>
    </row>
    <row r="17" spans="1:5" ht="26.25" customHeight="1" thickBot="1" x14ac:dyDescent="0.35">
      <c r="A17" s="247" t="s">
        <v>46</v>
      </c>
      <c r="B17" s="131" t="s">
        <v>28</v>
      </c>
      <c r="C17" s="146">
        <v>31450</v>
      </c>
      <c r="D17" s="146">
        <v>31201.772000000001</v>
      </c>
      <c r="E17" s="148">
        <f t="shared" si="0"/>
        <v>99.210721780604132</v>
      </c>
    </row>
    <row r="18" spans="1:5" ht="37.5" customHeight="1" thickBot="1" x14ac:dyDescent="0.35">
      <c r="A18" s="247" t="s">
        <v>63</v>
      </c>
      <c r="B18" s="131" t="s">
        <v>13</v>
      </c>
      <c r="C18" s="146">
        <v>0</v>
      </c>
      <c r="D18" s="146">
        <v>102.905</v>
      </c>
      <c r="E18" s="148">
        <v>0</v>
      </c>
    </row>
    <row r="19" spans="1:5" ht="42" customHeight="1" thickBot="1" x14ac:dyDescent="0.35">
      <c r="A19" s="243" t="s">
        <v>47</v>
      </c>
      <c r="B19" s="149" t="s">
        <v>29</v>
      </c>
      <c r="C19" s="146">
        <f>SUM(C20:C25)</f>
        <v>757202.18900000001</v>
      </c>
      <c r="D19" s="146">
        <f>SUM(D20:D25)</f>
        <v>631924.54299999983</v>
      </c>
      <c r="E19" s="148">
        <f t="shared" ref="E19:E30" si="1">D19/C19*100</f>
        <v>83.455192309276299</v>
      </c>
    </row>
    <row r="20" spans="1:5" s="30" customFormat="1" ht="56.25" customHeight="1" x14ac:dyDescent="0.35">
      <c r="A20" s="248" t="s">
        <v>148</v>
      </c>
      <c r="B20" s="150" t="s">
        <v>379</v>
      </c>
      <c r="C20" s="151">
        <v>2300</v>
      </c>
      <c r="D20" s="268">
        <v>4325.6450000000004</v>
      </c>
      <c r="E20" s="152">
        <f t="shared" si="1"/>
        <v>188.07152173913045</v>
      </c>
    </row>
    <row r="21" spans="1:5" ht="70.5" customHeight="1" x14ac:dyDescent="0.35">
      <c r="A21" s="248" t="s">
        <v>167</v>
      </c>
      <c r="B21" s="135" t="s">
        <v>48</v>
      </c>
      <c r="C21" s="141">
        <v>622000</v>
      </c>
      <c r="D21" s="269">
        <v>523201.64600000001</v>
      </c>
      <c r="E21" s="142">
        <f t="shared" si="1"/>
        <v>84.116020257234723</v>
      </c>
    </row>
    <row r="22" spans="1:5" s="60" customFormat="1" ht="57" customHeight="1" x14ac:dyDescent="0.35">
      <c r="A22" s="245" t="s">
        <v>22</v>
      </c>
      <c r="B22" s="135" t="s">
        <v>168</v>
      </c>
      <c r="C22" s="141">
        <v>3000</v>
      </c>
      <c r="D22" s="269">
        <v>765.32799999999997</v>
      </c>
      <c r="E22" s="142">
        <f t="shared" si="1"/>
        <v>25.51093333333333</v>
      </c>
    </row>
    <row r="23" spans="1:5" ht="54" customHeight="1" x14ac:dyDescent="0.35">
      <c r="A23" s="245" t="s">
        <v>149</v>
      </c>
      <c r="B23" s="135" t="s">
        <v>186</v>
      </c>
      <c r="C23" s="141">
        <v>104879.469</v>
      </c>
      <c r="D23" s="269">
        <v>90122.596999999994</v>
      </c>
      <c r="E23" s="142">
        <f t="shared" si="1"/>
        <v>85.929684674509559</v>
      </c>
    </row>
    <row r="24" spans="1:5" ht="53.25" customHeight="1" x14ac:dyDescent="0.35">
      <c r="A24" s="245" t="s">
        <v>154</v>
      </c>
      <c r="B24" s="135" t="s">
        <v>30</v>
      </c>
      <c r="C24" s="141">
        <v>22600</v>
      </c>
      <c r="D24" s="269">
        <v>11396.763999999999</v>
      </c>
      <c r="E24" s="142">
        <f t="shared" si="1"/>
        <v>50.428159292035389</v>
      </c>
    </row>
    <row r="25" spans="1:5" ht="54" customHeight="1" thickBot="1" x14ac:dyDescent="0.4">
      <c r="A25" s="249" t="s">
        <v>299</v>
      </c>
      <c r="B25" s="135" t="s">
        <v>2</v>
      </c>
      <c r="C25" s="141">
        <v>2422.7199999999998</v>
      </c>
      <c r="D25" s="269">
        <v>2112.5630000000001</v>
      </c>
      <c r="E25" s="142">
        <f t="shared" si="1"/>
        <v>87.197984084004759</v>
      </c>
    </row>
    <row r="26" spans="1:5" ht="24.75" customHeight="1" thickBot="1" x14ac:dyDescent="0.35">
      <c r="A26" s="243" t="s">
        <v>49</v>
      </c>
      <c r="B26" s="153" t="s">
        <v>380</v>
      </c>
      <c r="C26" s="154">
        <f>C27</f>
        <v>17900</v>
      </c>
      <c r="D26" s="146">
        <f>D27</f>
        <v>19341.379000000001</v>
      </c>
      <c r="E26" s="148">
        <f t="shared" si="1"/>
        <v>108.05239664804469</v>
      </c>
    </row>
    <row r="27" spans="1:5" ht="30" customHeight="1" thickBot="1" x14ac:dyDescent="0.4">
      <c r="A27" s="250" t="s">
        <v>156</v>
      </c>
      <c r="B27" s="155" t="s">
        <v>31</v>
      </c>
      <c r="C27" s="156">
        <v>17900</v>
      </c>
      <c r="D27" s="268">
        <v>19341.379000000001</v>
      </c>
      <c r="E27" s="152">
        <f t="shared" si="1"/>
        <v>108.05239664804469</v>
      </c>
    </row>
    <row r="28" spans="1:5" ht="27.75" customHeight="1" thickBot="1" x14ac:dyDescent="0.35">
      <c r="A28" s="247" t="s">
        <v>65</v>
      </c>
      <c r="B28" s="157" t="s">
        <v>381</v>
      </c>
      <c r="C28" s="146">
        <v>11991</v>
      </c>
      <c r="D28" s="146">
        <v>13313.447</v>
      </c>
      <c r="E28" s="148">
        <f t="shared" si="1"/>
        <v>111.0286631640397</v>
      </c>
    </row>
    <row r="29" spans="1:5" ht="21" customHeight="1" thickBot="1" x14ac:dyDescent="0.35">
      <c r="A29" s="243" t="s">
        <v>50</v>
      </c>
      <c r="B29" s="153" t="s">
        <v>64</v>
      </c>
      <c r="C29" s="154">
        <f>SUM(C30:C36)</f>
        <v>174331.83</v>
      </c>
      <c r="D29" s="154">
        <f>SUM(D30:D36)</f>
        <v>154239.92300000001</v>
      </c>
      <c r="E29" s="148">
        <f t="shared" si="1"/>
        <v>88.474906160280668</v>
      </c>
    </row>
    <row r="30" spans="1:5" ht="28.5" customHeight="1" x14ac:dyDescent="0.35">
      <c r="A30" s="248" t="s">
        <v>157</v>
      </c>
      <c r="B30" s="134" t="s">
        <v>51</v>
      </c>
      <c r="C30" s="139">
        <v>23446.6</v>
      </c>
      <c r="D30" s="267">
        <v>20687.285</v>
      </c>
      <c r="E30" s="140">
        <f t="shared" si="1"/>
        <v>88.231491986044887</v>
      </c>
    </row>
    <row r="31" spans="1:5" ht="67.5" customHeight="1" x14ac:dyDescent="0.35">
      <c r="A31" s="245" t="s">
        <v>484</v>
      </c>
      <c r="B31" s="8" t="s">
        <v>477</v>
      </c>
      <c r="C31" s="139">
        <v>0</v>
      </c>
      <c r="D31" s="267">
        <v>0.8</v>
      </c>
      <c r="E31" s="140">
        <v>0</v>
      </c>
    </row>
    <row r="32" spans="1:5" ht="77.25" customHeight="1" x14ac:dyDescent="0.35">
      <c r="A32" s="245" t="s">
        <v>485</v>
      </c>
      <c r="B32" s="15" t="s">
        <v>191</v>
      </c>
      <c r="C32" s="139">
        <v>0</v>
      </c>
      <c r="D32" s="267">
        <v>242.369</v>
      </c>
      <c r="E32" s="140">
        <v>0</v>
      </c>
    </row>
    <row r="33" spans="1:5" ht="69.75" customHeight="1" x14ac:dyDescent="0.35">
      <c r="A33" s="245" t="s">
        <v>169</v>
      </c>
      <c r="B33" s="135" t="s">
        <v>191</v>
      </c>
      <c r="C33" s="141">
        <v>107225.23</v>
      </c>
      <c r="D33" s="269">
        <v>82367.540999999997</v>
      </c>
      <c r="E33" s="142">
        <f>D33/C33*100</f>
        <v>76.817313425207857</v>
      </c>
    </row>
    <row r="34" spans="1:5" ht="69.75" customHeight="1" x14ac:dyDescent="0.35">
      <c r="A34" s="245" t="s">
        <v>357</v>
      </c>
      <c r="B34" s="135" t="s">
        <v>358</v>
      </c>
      <c r="C34" s="141">
        <v>0</v>
      </c>
      <c r="D34" s="270">
        <v>131.465</v>
      </c>
      <c r="E34" s="145">
        <v>0</v>
      </c>
    </row>
    <row r="35" spans="1:5" ht="32.25" customHeight="1" x14ac:dyDescent="0.35">
      <c r="A35" s="246" t="s">
        <v>161</v>
      </c>
      <c r="B35" s="261" t="s">
        <v>52</v>
      </c>
      <c r="C35" s="144">
        <v>38000</v>
      </c>
      <c r="D35" s="270">
        <v>45150.463000000003</v>
      </c>
      <c r="E35" s="145">
        <f t="shared" ref="E35:E47" si="2">D35/C35*100</f>
        <v>118.81700789473686</v>
      </c>
    </row>
    <row r="36" spans="1:5" ht="54" customHeight="1" thickBot="1" x14ac:dyDescent="0.4">
      <c r="A36" s="246" t="s">
        <v>470</v>
      </c>
      <c r="B36" s="158" t="s">
        <v>471</v>
      </c>
      <c r="C36" s="262">
        <v>5660</v>
      </c>
      <c r="D36" s="271">
        <v>5660</v>
      </c>
      <c r="E36" s="145">
        <f t="shared" si="2"/>
        <v>100</v>
      </c>
    </row>
    <row r="37" spans="1:5" ht="24.75" customHeight="1" thickBot="1" x14ac:dyDescent="0.35">
      <c r="A37" s="243" t="s">
        <v>53</v>
      </c>
      <c r="B37" s="157" t="s">
        <v>32</v>
      </c>
      <c r="C37" s="146">
        <v>47962</v>
      </c>
      <c r="D37" s="147">
        <v>51356.995999999999</v>
      </c>
      <c r="E37" s="148">
        <f t="shared" si="2"/>
        <v>107.07851215545641</v>
      </c>
    </row>
    <row r="38" spans="1:5" s="30" customFormat="1" ht="55.5" hidden="1" customHeight="1" x14ac:dyDescent="0.35">
      <c r="A38" s="245" t="s">
        <v>16</v>
      </c>
      <c r="B38" s="159" t="s">
        <v>112</v>
      </c>
      <c r="C38" s="139">
        <v>0</v>
      </c>
      <c r="D38" s="272">
        <v>0</v>
      </c>
      <c r="E38" s="140" t="e">
        <f t="shared" si="2"/>
        <v>#DIV/0!</v>
      </c>
    </row>
    <row r="39" spans="1:5" ht="23.25" customHeight="1" thickBot="1" x14ac:dyDescent="0.35">
      <c r="A39" s="243" t="s">
        <v>66</v>
      </c>
      <c r="B39" s="157" t="s">
        <v>67</v>
      </c>
      <c r="C39" s="160">
        <v>14687.2</v>
      </c>
      <c r="D39" s="237">
        <v>14619.216</v>
      </c>
      <c r="E39" s="161">
        <f t="shared" si="2"/>
        <v>99.537120758211231</v>
      </c>
    </row>
    <row r="40" spans="1:5" ht="27" customHeight="1" thickBot="1" x14ac:dyDescent="0.35">
      <c r="A40" s="251" t="s">
        <v>54</v>
      </c>
      <c r="B40" s="131" t="s">
        <v>35</v>
      </c>
      <c r="C40" s="154">
        <f>C41+C46+C48+C50</f>
        <v>6421978.7649999997</v>
      </c>
      <c r="D40" s="146">
        <f>SUM(D41,D46,D48,D50)</f>
        <v>5096785.7889999999</v>
      </c>
      <c r="E40" s="148">
        <f t="shared" si="2"/>
        <v>79.364725040475903</v>
      </c>
    </row>
    <row r="41" spans="1:5" ht="30" customHeight="1" thickBot="1" x14ac:dyDescent="0.4">
      <c r="A41" s="252" t="s">
        <v>382</v>
      </c>
      <c r="B41" s="162" t="s">
        <v>101</v>
      </c>
      <c r="C41" s="146">
        <f>SUM(C42:C45)</f>
        <v>6422846.6840000004</v>
      </c>
      <c r="D41" s="209">
        <f>D42+D43+D44+D45</f>
        <v>5100829.3190000001</v>
      </c>
      <c r="E41" s="163">
        <f t="shared" si="2"/>
        <v>79.41695590689892</v>
      </c>
    </row>
    <row r="42" spans="1:5" ht="30" customHeight="1" thickBot="1" x14ac:dyDescent="0.4">
      <c r="A42" s="238" t="s">
        <v>398</v>
      </c>
      <c r="B42" s="164" t="s">
        <v>55</v>
      </c>
      <c r="C42" s="156">
        <v>642012.80000000005</v>
      </c>
      <c r="D42" s="209">
        <v>589206.5</v>
      </c>
      <c r="E42" s="165">
        <f t="shared" si="2"/>
        <v>91.774883616027594</v>
      </c>
    </row>
    <row r="43" spans="1:5" ht="37.5" customHeight="1" thickBot="1" x14ac:dyDescent="0.4">
      <c r="A43" s="239" t="s">
        <v>399</v>
      </c>
      <c r="B43" s="166" t="s">
        <v>56</v>
      </c>
      <c r="C43" s="156">
        <v>1482755.6</v>
      </c>
      <c r="D43" s="209">
        <v>911486.21</v>
      </c>
      <c r="E43" s="165">
        <f t="shared" si="2"/>
        <v>61.472451022946728</v>
      </c>
    </row>
    <row r="44" spans="1:5" ht="28.5" customHeight="1" thickBot="1" x14ac:dyDescent="0.4">
      <c r="A44" s="238" t="s">
        <v>400</v>
      </c>
      <c r="B44" s="164" t="s">
        <v>57</v>
      </c>
      <c r="C44" s="156">
        <v>4219846.8</v>
      </c>
      <c r="D44" s="209">
        <v>3522551.4180000001</v>
      </c>
      <c r="E44" s="165">
        <f t="shared" si="2"/>
        <v>83.475812866002627</v>
      </c>
    </row>
    <row r="45" spans="1:5" ht="24" customHeight="1" thickBot="1" x14ac:dyDescent="0.4">
      <c r="A45" s="238" t="s">
        <v>401</v>
      </c>
      <c r="B45" s="164" t="s">
        <v>58</v>
      </c>
      <c r="C45" s="156">
        <v>78231.483999999997</v>
      </c>
      <c r="D45" s="209">
        <v>77585.191000000006</v>
      </c>
      <c r="E45" s="165">
        <f t="shared" si="2"/>
        <v>99.173870969902609</v>
      </c>
    </row>
    <row r="46" spans="1:5" ht="24.75" customHeight="1" thickBot="1" x14ac:dyDescent="0.35">
      <c r="A46" s="253" t="s">
        <v>384</v>
      </c>
      <c r="B46" s="131" t="s">
        <v>68</v>
      </c>
      <c r="C46" s="154">
        <f>C47</f>
        <v>32233.271000000001</v>
      </c>
      <c r="D46" s="146">
        <f>D47</f>
        <v>32443.271000000001</v>
      </c>
      <c r="E46" s="148">
        <f t="shared" si="2"/>
        <v>100.65150074281944</v>
      </c>
    </row>
    <row r="47" spans="1:5" ht="24" customHeight="1" thickBot="1" x14ac:dyDescent="0.4">
      <c r="A47" s="254" t="s">
        <v>383</v>
      </c>
      <c r="B47" s="150" t="s">
        <v>69</v>
      </c>
      <c r="C47" s="151">
        <v>32233.271000000001</v>
      </c>
      <c r="D47" s="210">
        <v>32443.271000000001</v>
      </c>
      <c r="E47" s="152">
        <f t="shared" si="2"/>
        <v>100.65150074281944</v>
      </c>
    </row>
    <row r="48" spans="1:5" ht="70.5" customHeight="1" thickBot="1" x14ac:dyDescent="0.35">
      <c r="A48" s="253" t="s">
        <v>385</v>
      </c>
      <c r="B48" s="153" t="s">
        <v>386</v>
      </c>
      <c r="C48" s="147">
        <f>C49</f>
        <v>0</v>
      </c>
      <c r="D48" s="146">
        <f>D49</f>
        <v>581.09</v>
      </c>
      <c r="E48" s="148">
        <v>0</v>
      </c>
    </row>
    <row r="49" spans="1:5" ht="36" customHeight="1" thickBot="1" x14ac:dyDescent="0.4">
      <c r="A49" s="254" t="s">
        <v>170</v>
      </c>
      <c r="B49" s="167" t="s">
        <v>387</v>
      </c>
      <c r="C49" s="168">
        <v>0</v>
      </c>
      <c r="D49" s="268">
        <v>581.09</v>
      </c>
      <c r="E49" s="152">
        <v>0</v>
      </c>
    </row>
    <row r="50" spans="1:5" ht="36" customHeight="1" thickBot="1" x14ac:dyDescent="0.35">
      <c r="A50" s="253" t="s">
        <v>388</v>
      </c>
      <c r="B50" s="153" t="s">
        <v>3</v>
      </c>
      <c r="C50" s="146">
        <f>C51</f>
        <v>-33101.19</v>
      </c>
      <c r="D50" s="146">
        <f>D51</f>
        <v>-37067.891000000003</v>
      </c>
      <c r="E50" s="148">
        <f>D50/C50*100</f>
        <v>111.98356010765775</v>
      </c>
    </row>
    <row r="51" spans="1:5" ht="41.25" customHeight="1" thickBot="1" x14ac:dyDescent="0.4">
      <c r="A51" s="254" t="s">
        <v>389</v>
      </c>
      <c r="B51" s="167" t="s">
        <v>0</v>
      </c>
      <c r="C51" s="151">
        <v>-33101.19</v>
      </c>
      <c r="D51" s="268">
        <v>-37067.891000000003</v>
      </c>
      <c r="E51" s="152">
        <f>D51/C51*100</f>
        <v>111.98356010765775</v>
      </c>
    </row>
    <row r="52" spans="1:5" ht="23.25" customHeight="1" thickBot="1" x14ac:dyDescent="0.35">
      <c r="A52" s="138"/>
      <c r="B52" s="131" t="s">
        <v>33</v>
      </c>
      <c r="C52" s="146">
        <f>SUM(C7,C40)</f>
        <v>12888668.864</v>
      </c>
      <c r="D52" s="146">
        <f>SUM(D7,D40)</f>
        <v>10454557.210999999</v>
      </c>
      <c r="E52" s="148">
        <f>D52/C52*100</f>
        <v>81.114328572760201</v>
      </c>
    </row>
    <row r="53" spans="1:5" x14ac:dyDescent="0.25">
      <c r="C53" s="85"/>
      <c r="D53" s="203"/>
    </row>
    <row r="54" spans="1:5" x14ac:dyDescent="0.25">
      <c r="C54" s="85"/>
      <c r="D54" s="203"/>
    </row>
    <row r="55" spans="1:5" x14ac:dyDescent="0.25">
      <c r="B55" s="37"/>
      <c r="C55" s="85"/>
      <c r="D55" s="203"/>
    </row>
    <row r="56" spans="1:5" x14ac:dyDescent="0.25">
      <c r="B56" s="37"/>
      <c r="C56" s="85"/>
      <c r="D56" s="203"/>
    </row>
    <row r="57" spans="1:5" x14ac:dyDescent="0.25">
      <c r="B57" s="37"/>
      <c r="C57" s="85"/>
      <c r="D57" s="203"/>
    </row>
    <row r="58" spans="1:5" x14ac:dyDescent="0.25">
      <c r="C58" s="85"/>
      <c r="D58" s="203"/>
    </row>
    <row r="59" spans="1:5" x14ac:dyDescent="0.25">
      <c r="C59" s="85"/>
      <c r="D59" s="203"/>
    </row>
    <row r="60" spans="1:5" x14ac:dyDescent="0.25">
      <c r="C60" s="85"/>
      <c r="D60" s="203"/>
    </row>
  </sheetData>
  <mergeCells count="8">
    <mergeCell ref="A1:E1"/>
    <mergeCell ref="A2:E2"/>
    <mergeCell ref="A3:E3"/>
    <mergeCell ref="A5:A6"/>
    <mergeCell ref="B5:B6"/>
    <mergeCell ref="C5:C6"/>
    <mergeCell ref="D5:D6"/>
    <mergeCell ref="E5:E6"/>
  </mergeCells>
  <phoneticPr fontId="3" type="noConversion"/>
  <printOptions horizontalCentered="1" verticalCentered="1"/>
  <pageMargins left="0.11811023622047245" right="0.11811023622047245" top="0.39370078740157483" bottom="0.19685039370078741" header="0.59055118110236227" footer="0.19685039370078741"/>
  <pageSetup paperSize="9" scale="58" fitToHeight="2" orientation="landscape" r:id="rId1"/>
  <headerFooter alignWithMargins="0"/>
  <rowBreaks count="1" manualBreakCount="1">
    <brk id="2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9"/>
  <sheetViews>
    <sheetView view="pageBreakPreview" zoomScale="80" zoomScaleNormal="65" zoomScaleSheetLayoutView="80" workbookViewId="0">
      <pane xSplit="5" ySplit="6" topLeftCell="F96" activePane="bottomRight" state="frozen"/>
      <selection pane="topRight" activeCell="H1" sqref="H1"/>
      <selection pane="bottomLeft" activeCell="A7" sqref="A7"/>
      <selection pane="bottomRight" activeCell="F205" sqref="F205"/>
    </sheetView>
  </sheetViews>
  <sheetFormatPr defaultRowHeight="13.2" x14ac:dyDescent="0.25"/>
  <cols>
    <col min="1" max="1" width="34" customWidth="1"/>
    <col min="2" max="2" width="111.88671875" customWidth="1"/>
    <col min="3" max="3" width="20.6640625" customWidth="1"/>
    <col min="4" max="4" width="19.33203125" style="204" customWidth="1"/>
    <col min="5" max="5" width="15" style="115" customWidth="1"/>
    <col min="6" max="6" width="19.33203125" customWidth="1"/>
  </cols>
  <sheetData>
    <row r="1" spans="1:5" ht="18.75" customHeight="1" x14ac:dyDescent="0.35">
      <c r="A1" s="343" t="s">
        <v>144</v>
      </c>
      <c r="B1" s="343"/>
      <c r="C1" s="343"/>
      <c r="D1" s="343"/>
      <c r="E1" s="343"/>
    </row>
    <row r="2" spans="1:5" ht="18.75" customHeight="1" x14ac:dyDescent="0.35">
      <c r="A2" s="343" t="s">
        <v>145</v>
      </c>
      <c r="B2" s="343"/>
      <c r="C2" s="343"/>
      <c r="D2" s="343"/>
      <c r="E2" s="343"/>
    </row>
    <row r="3" spans="1:5" ht="18.75" customHeight="1" x14ac:dyDescent="0.35">
      <c r="A3" s="344" t="s">
        <v>486</v>
      </c>
      <c r="B3" s="344"/>
      <c r="C3" s="344"/>
      <c r="D3" s="344"/>
      <c r="E3" s="344"/>
    </row>
    <row r="4" spans="1:5" ht="24.75" customHeight="1" thickBot="1" x14ac:dyDescent="0.4">
      <c r="A4" s="3"/>
      <c r="B4" s="1"/>
      <c r="C4" s="2"/>
      <c r="D4" s="202"/>
    </row>
    <row r="5" spans="1:5" ht="19.5" customHeight="1" x14ac:dyDescent="0.25">
      <c r="A5" s="345" t="s">
        <v>34</v>
      </c>
      <c r="B5" s="345" t="s">
        <v>60</v>
      </c>
      <c r="C5" s="347" t="s">
        <v>179</v>
      </c>
      <c r="D5" s="351" t="s">
        <v>487</v>
      </c>
      <c r="E5" s="349" t="s">
        <v>180</v>
      </c>
    </row>
    <row r="6" spans="1:5" ht="89.25" customHeight="1" thickBot="1" x14ac:dyDescent="0.3">
      <c r="A6" s="346"/>
      <c r="B6" s="346"/>
      <c r="C6" s="348"/>
      <c r="D6" s="352"/>
      <c r="E6" s="350"/>
    </row>
    <row r="7" spans="1:5" ht="22.5" customHeight="1" thickBot="1" x14ac:dyDescent="0.3">
      <c r="A7" s="21"/>
      <c r="B7" s="56" t="s">
        <v>23</v>
      </c>
      <c r="C7" s="289">
        <f>SUM(C8,C13,C31,C39,C43,C48,C62,C69,C90,C101,C162)</f>
        <v>6466690.0990000013</v>
      </c>
      <c r="D7" s="198">
        <f>SUM(D8,D13,D31,D39,D43,D48,D62,D69,D90,D101,D162)</f>
        <v>5357771.4220000003</v>
      </c>
      <c r="E7" s="292">
        <f t="shared" ref="E7:E16" si="0">D7/C7*100</f>
        <v>82.851835173430032</v>
      </c>
    </row>
    <row r="8" spans="1:5" ht="24.75" customHeight="1" x14ac:dyDescent="0.35">
      <c r="A8" s="18" t="s">
        <v>36</v>
      </c>
      <c r="B8" s="55" t="s">
        <v>59</v>
      </c>
      <c r="C8" s="86">
        <f>SUM(C9:C12)</f>
        <v>4086599.9</v>
      </c>
      <c r="D8" s="301">
        <f>SUM(D9:D12)</f>
        <v>3235007.3930000002</v>
      </c>
      <c r="E8" s="214">
        <f t="shared" si="0"/>
        <v>79.161343712654627</v>
      </c>
    </row>
    <row r="9" spans="1:5" ht="45.75" customHeight="1" x14ac:dyDescent="0.3">
      <c r="A9" s="40" t="s">
        <v>294</v>
      </c>
      <c r="B9" s="211" t="s">
        <v>499</v>
      </c>
      <c r="C9" s="94">
        <v>4024860</v>
      </c>
      <c r="D9" s="302">
        <v>3177053.0559999999</v>
      </c>
      <c r="E9" s="215">
        <f t="shared" si="0"/>
        <v>78.935740771107561</v>
      </c>
    </row>
    <row r="10" spans="1:5" ht="62.25" customHeight="1" x14ac:dyDescent="0.3">
      <c r="A10" s="40" t="s">
        <v>295</v>
      </c>
      <c r="B10" s="211" t="s">
        <v>500</v>
      </c>
      <c r="C10" s="87">
        <v>29189.9</v>
      </c>
      <c r="D10" s="303">
        <v>24322.240000000002</v>
      </c>
      <c r="E10" s="216">
        <f t="shared" si="0"/>
        <v>83.324163494907495</v>
      </c>
    </row>
    <row r="11" spans="1:5" ht="30" customHeight="1" x14ac:dyDescent="0.3">
      <c r="A11" s="40" t="s">
        <v>296</v>
      </c>
      <c r="B11" s="211" t="s">
        <v>501</v>
      </c>
      <c r="C11" s="87">
        <v>30550</v>
      </c>
      <c r="D11" s="303">
        <v>31445.11</v>
      </c>
      <c r="E11" s="216">
        <f t="shared" si="0"/>
        <v>102.92998363338791</v>
      </c>
    </row>
    <row r="12" spans="1:5" ht="63" customHeight="1" thickBot="1" x14ac:dyDescent="0.35">
      <c r="A12" s="53" t="s">
        <v>297</v>
      </c>
      <c r="B12" s="212" t="s">
        <v>502</v>
      </c>
      <c r="C12" s="95">
        <v>2000</v>
      </c>
      <c r="D12" s="304">
        <v>2186.9870000000001</v>
      </c>
      <c r="E12" s="216">
        <f t="shared" si="0"/>
        <v>109.34935000000002</v>
      </c>
    </row>
    <row r="13" spans="1:5" ht="33" customHeight="1" thickBot="1" x14ac:dyDescent="0.3">
      <c r="A13" s="21" t="s">
        <v>37</v>
      </c>
      <c r="B13" s="7" t="s">
        <v>24</v>
      </c>
      <c r="C13" s="78">
        <f>SUM(C14,C25,C28)</f>
        <v>756553</v>
      </c>
      <c r="D13" s="199">
        <f>SUM(D14,D25,D28)</f>
        <v>746133.91999999993</v>
      </c>
      <c r="E13" s="293">
        <f t="shared" si="0"/>
        <v>98.622822194875965</v>
      </c>
    </row>
    <row r="14" spans="1:5" ht="29.25" customHeight="1" x14ac:dyDescent="0.35">
      <c r="A14" s="18" t="s">
        <v>39</v>
      </c>
      <c r="B14" s="8" t="s">
        <v>38</v>
      </c>
      <c r="C14" s="86">
        <f>SUM(C15,C18,C21,C24)</f>
        <v>469447</v>
      </c>
      <c r="D14" s="301">
        <f>SUM(D15,D18,D21,D24)</f>
        <v>461002.64199999993</v>
      </c>
      <c r="E14" s="217">
        <f t="shared" si="0"/>
        <v>98.201211638374502</v>
      </c>
    </row>
    <row r="15" spans="1:5" ht="21" customHeight="1" x14ac:dyDescent="0.3">
      <c r="A15" s="40" t="s">
        <v>78</v>
      </c>
      <c r="B15" s="33" t="s">
        <v>77</v>
      </c>
      <c r="C15" s="94">
        <f>SUM(C16:C17)</f>
        <v>376335</v>
      </c>
      <c r="D15" s="305">
        <f>SUM(D16:D17)</f>
        <v>361519.02999999997</v>
      </c>
      <c r="E15" s="216">
        <f t="shared" si="0"/>
        <v>96.063090066031592</v>
      </c>
    </row>
    <row r="16" spans="1:5" s="69" customFormat="1" ht="21" customHeight="1" x14ac:dyDescent="0.3">
      <c r="A16" s="40" t="s">
        <v>130</v>
      </c>
      <c r="B16" s="185" t="s">
        <v>324</v>
      </c>
      <c r="C16" s="94">
        <v>376335</v>
      </c>
      <c r="D16" s="302">
        <v>373415.91899999999</v>
      </c>
      <c r="E16" s="216">
        <f t="shared" si="0"/>
        <v>99.224339750488255</v>
      </c>
    </row>
    <row r="17" spans="1:5" s="69" customFormat="1" ht="26.25" customHeight="1" x14ac:dyDescent="0.3">
      <c r="A17" s="40" t="s">
        <v>131</v>
      </c>
      <c r="B17" s="33" t="s">
        <v>132</v>
      </c>
      <c r="C17" s="94">
        <v>0</v>
      </c>
      <c r="D17" s="302">
        <v>-11896.888999999999</v>
      </c>
      <c r="E17" s="216">
        <v>0</v>
      </c>
    </row>
    <row r="18" spans="1:5" ht="32.25" customHeight="1" x14ac:dyDescent="0.3">
      <c r="A18" s="40" t="s">
        <v>125</v>
      </c>
      <c r="B18" s="33" t="s">
        <v>111</v>
      </c>
      <c r="C18" s="94">
        <f>SUM(C19:C20)</f>
        <v>66482</v>
      </c>
      <c r="D18" s="302">
        <f>SUM(D19:D20)</f>
        <v>70486.263000000006</v>
      </c>
      <c r="E18" s="216">
        <f>D18/C18*100</f>
        <v>106.02307842724348</v>
      </c>
    </row>
    <row r="19" spans="1:5" s="69" customFormat="1" ht="29.25" customHeight="1" x14ac:dyDescent="0.3">
      <c r="A19" s="40" t="s">
        <v>134</v>
      </c>
      <c r="B19" s="33" t="s">
        <v>133</v>
      </c>
      <c r="C19" s="94">
        <v>66482</v>
      </c>
      <c r="D19" s="302">
        <v>77935.620999999999</v>
      </c>
      <c r="E19" s="216">
        <f>D19/C19*100</f>
        <v>117.22815348515387</v>
      </c>
    </row>
    <row r="20" spans="1:5" s="69" customFormat="1" ht="34.5" customHeight="1" x14ac:dyDescent="0.3">
      <c r="A20" s="40" t="s">
        <v>135</v>
      </c>
      <c r="B20" s="33" t="s">
        <v>136</v>
      </c>
      <c r="C20" s="94">
        <v>0</v>
      </c>
      <c r="D20" s="302">
        <v>-7449.3580000000002</v>
      </c>
      <c r="E20" s="216">
        <v>0</v>
      </c>
    </row>
    <row r="21" spans="1:5" s="69" customFormat="1" ht="27.75" customHeight="1" x14ac:dyDescent="0.3">
      <c r="A21" s="40" t="s">
        <v>93</v>
      </c>
      <c r="B21" s="33" t="s">
        <v>83</v>
      </c>
      <c r="C21" s="94">
        <f>SUM(C22:C23)</f>
        <v>2730</v>
      </c>
      <c r="D21" s="302">
        <f>SUM(D22:D23)</f>
        <v>3158.3879999999999</v>
      </c>
      <c r="E21" s="216">
        <f>D21/C21*100</f>
        <v>115.69186813186813</v>
      </c>
    </row>
    <row r="22" spans="1:5" s="69" customFormat="1" ht="27.75" customHeight="1" x14ac:dyDescent="0.3">
      <c r="A22" s="40" t="s">
        <v>94</v>
      </c>
      <c r="B22" s="33" t="s">
        <v>84</v>
      </c>
      <c r="C22" s="94">
        <v>2730</v>
      </c>
      <c r="D22" s="302">
        <v>3089.6</v>
      </c>
      <c r="E22" s="216">
        <f>D22/C22*100</f>
        <v>113.17216117216118</v>
      </c>
    </row>
    <row r="23" spans="1:5" s="69" customFormat="1" ht="30" customHeight="1" x14ac:dyDescent="0.3">
      <c r="A23" s="40" t="s">
        <v>95</v>
      </c>
      <c r="B23" s="33" t="s">
        <v>85</v>
      </c>
      <c r="C23" s="94">
        <v>0</v>
      </c>
      <c r="D23" s="302">
        <v>68.787999999999997</v>
      </c>
      <c r="E23" s="216">
        <v>0</v>
      </c>
    </row>
    <row r="24" spans="1:5" s="69" customFormat="1" ht="21.75" customHeight="1" x14ac:dyDescent="0.3">
      <c r="A24" s="40" t="s">
        <v>137</v>
      </c>
      <c r="B24" s="33" t="s">
        <v>323</v>
      </c>
      <c r="C24" s="94">
        <v>23900</v>
      </c>
      <c r="D24" s="302">
        <v>25838.960999999999</v>
      </c>
      <c r="E24" s="216">
        <f>D24/C24*100</f>
        <v>108.11280753138075</v>
      </c>
    </row>
    <row r="25" spans="1:5" ht="25.5" customHeight="1" x14ac:dyDescent="0.35">
      <c r="A25" s="4" t="s">
        <v>40</v>
      </c>
      <c r="B25" s="9" t="s">
        <v>25</v>
      </c>
      <c r="C25" s="79">
        <f>SUM(C26:C27)</f>
        <v>286550</v>
      </c>
      <c r="D25" s="306">
        <f>SUM(D26:D27)</f>
        <v>284568.56300000002</v>
      </c>
      <c r="E25" s="217">
        <f>D25/C25*100</f>
        <v>99.308519630082017</v>
      </c>
    </row>
    <row r="26" spans="1:5" s="60" customFormat="1" ht="24" customHeight="1" x14ac:dyDescent="0.3">
      <c r="A26" s="70" t="s">
        <v>139</v>
      </c>
      <c r="B26" s="31" t="s">
        <v>25</v>
      </c>
      <c r="C26" s="87">
        <v>286550</v>
      </c>
      <c r="D26" s="307">
        <v>283949.29700000002</v>
      </c>
      <c r="E26" s="218">
        <f>D26/C26*100</f>
        <v>99.092408654685045</v>
      </c>
    </row>
    <row r="27" spans="1:5" s="60" customFormat="1" ht="32.25" customHeight="1" x14ac:dyDescent="0.3">
      <c r="A27" s="70" t="s">
        <v>140</v>
      </c>
      <c r="B27" s="31" t="s">
        <v>138</v>
      </c>
      <c r="C27" s="87">
        <v>0</v>
      </c>
      <c r="D27" s="303">
        <v>619.26599999999996</v>
      </c>
      <c r="E27" s="218">
        <v>0</v>
      </c>
    </row>
    <row r="28" spans="1:5" ht="24.75" customHeight="1" x14ac:dyDescent="0.35">
      <c r="A28" s="4" t="s">
        <v>61</v>
      </c>
      <c r="B28" s="9" t="s">
        <v>62</v>
      </c>
      <c r="C28" s="86">
        <f>SUM(C29:C30)</f>
        <v>556</v>
      </c>
      <c r="D28" s="306">
        <f>SUM(D29:D30)</f>
        <v>562.71500000000003</v>
      </c>
      <c r="E28" s="217">
        <f>D28/C28*100</f>
        <v>101.20773381294966</v>
      </c>
    </row>
    <row r="29" spans="1:5" s="60" customFormat="1" ht="19.5" customHeight="1" x14ac:dyDescent="0.3">
      <c r="A29" s="70" t="s">
        <v>142</v>
      </c>
      <c r="B29" s="31" t="s">
        <v>62</v>
      </c>
      <c r="C29" s="94">
        <v>556</v>
      </c>
      <c r="D29" s="302">
        <v>594.46600000000001</v>
      </c>
      <c r="E29" s="215">
        <f>D29/C29*100</f>
        <v>106.91834532374101</v>
      </c>
    </row>
    <row r="30" spans="1:5" s="60" customFormat="1" ht="24.75" customHeight="1" thickBot="1" x14ac:dyDescent="0.35">
      <c r="A30" s="70" t="s">
        <v>143</v>
      </c>
      <c r="B30" s="38" t="s">
        <v>141</v>
      </c>
      <c r="C30" s="96">
        <v>0</v>
      </c>
      <c r="D30" s="308">
        <v>-31.751000000000001</v>
      </c>
      <c r="E30" s="219">
        <v>0</v>
      </c>
    </row>
    <row r="31" spans="1:5" ht="27.75" customHeight="1" thickBot="1" x14ac:dyDescent="0.35">
      <c r="A31" s="20" t="s">
        <v>41</v>
      </c>
      <c r="B31" s="7" t="s">
        <v>26</v>
      </c>
      <c r="C31" s="78">
        <f>SUM(C32,C33,C36)</f>
        <v>568012.98</v>
      </c>
      <c r="D31" s="199">
        <f>SUM(D32,D33,D36)</f>
        <v>460529.92799999996</v>
      </c>
      <c r="E31" s="293">
        <f t="shared" ref="E31:E42" si="1">D31/C31*100</f>
        <v>81.077359887092712</v>
      </c>
    </row>
    <row r="32" spans="1:5" ht="36.75" customHeight="1" x14ac:dyDescent="0.35">
      <c r="A32" s="26" t="s">
        <v>42</v>
      </c>
      <c r="B32" s="8" t="s">
        <v>378</v>
      </c>
      <c r="C32" s="80">
        <v>64000</v>
      </c>
      <c r="D32" s="309">
        <v>37545.964</v>
      </c>
      <c r="E32" s="220">
        <f t="shared" si="1"/>
        <v>58.665568749999998</v>
      </c>
    </row>
    <row r="33" spans="1:5" ht="24" customHeight="1" x14ac:dyDescent="0.35">
      <c r="A33" s="5" t="s">
        <v>43</v>
      </c>
      <c r="B33" s="9" t="s">
        <v>44</v>
      </c>
      <c r="C33" s="81">
        <f>SUM(C34:C35)</f>
        <v>367347</v>
      </c>
      <c r="D33" s="310">
        <f>SUM(D34:D35)</f>
        <v>317313.946</v>
      </c>
      <c r="E33" s="221">
        <f t="shared" si="1"/>
        <v>86.379893125573375</v>
      </c>
    </row>
    <row r="34" spans="1:5" ht="21" customHeight="1" x14ac:dyDescent="0.3">
      <c r="A34" s="32" t="s">
        <v>82</v>
      </c>
      <c r="B34" s="31" t="s">
        <v>79</v>
      </c>
      <c r="C34" s="88">
        <v>167347</v>
      </c>
      <c r="D34" s="311">
        <v>159913.82699999999</v>
      </c>
      <c r="E34" s="222">
        <f t="shared" si="1"/>
        <v>95.55822751528261</v>
      </c>
    </row>
    <row r="35" spans="1:5" ht="21" customHeight="1" x14ac:dyDescent="0.3">
      <c r="A35" s="32" t="s">
        <v>81</v>
      </c>
      <c r="B35" s="38" t="s">
        <v>80</v>
      </c>
      <c r="C35" s="88">
        <v>200000</v>
      </c>
      <c r="D35" s="311">
        <v>157400.11900000001</v>
      </c>
      <c r="E35" s="222">
        <f t="shared" si="1"/>
        <v>78.700059500000009</v>
      </c>
    </row>
    <row r="36" spans="1:5" ht="24" customHeight="1" x14ac:dyDescent="0.35">
      <c r="A36" s="17" t="s">
        <v>45</v>
      </c>
      <c r="B36" s="11" t="s">
        <v>27</v>
      </c>
      <c r="C36" s="82">
        <f>SUM(C37:C38)</f>
        <v>136665.98000000001</v>
      </c>
      <c r="D36" s="312">
        <f>SUM(D37:D38)</f>
        <v>105670.018</v>
      </c>
      <c r="E36" s="221">
        <f t="shared" si="1"/>
        <v>77.319913851274464</v>
      </c>
    </row>
    <row r="37" spans="1:5" ht="45.75" customHeight="1" x14ac:dyDescent="0.3">
      <c r="A37" s="41" t="s">
        <v>86</v>
      </c>
      <c r="B37" s="31" t="s">
        <v>173</v>
      </c>
      <c r="C37" s="89">
        <v>4000</v>
      </c>
      <c r="D37" s="313">
        <v>3538.502</v>
      </c>
      <c r="E37" s="222">
        <f t="shared" si="1"/>
        <v>88.462549999999993</v>
      </c>
    </row>
    <row r="38" spans="1:5" ht="47.25" customHeight="1" thickBot="1" x14ac:dyDescent="0.35">
      <c r="A38" s="41" t="s">
        <v>87</v>
      </c>
      <c r="B38" s="179" t="s">
        <v>174</v>
      </c>
      <c r="C38" s="90">
        <v>132665.98000000001</v>
      </c>
      <c r="D38" s="314">
        <v>102131.516</v>
      </c>
      <c r="E38" s="213">
        <f t="shared" si="1"/>
        <v>76.983953233526776</v>
      </c>
    </row>
    <row r="39" spans="1:5" ht="26.25" customHeight="1" thickBot="1" x14ac:dyDescent="0.35">
      <c r="A39" s="25" t="s">
        <v>46</v>
      </c>
      <c r="B39" s="7" t="s">
        <v>28</v>
      </c>
      <c r="C39" s="74">
        <f>SUM(C40:C42)</f>
        <v>31450</v>
      </c>
      <c r="D39" s="201">
        <f>SUM(D40:D42)</f>
        <v>31201.772000000001</v>
      </c>
      <c r="E39" s="294">
        <f t="shared" si="1"/>
        <v>99.210721780604132</v>
      </c>
    </row>
    <row r="40" spans="1:5" s="30" customFormat="1" ht="52.5" customHeight="1" x14ac:dyDescent="0.3">
      <c r="A40" s="39" t="s">
        <v>114</v>
      </c>
      <c r="B40" s="38" t="s">
        <v>175</v>
      </c>
      <c r="C40" s="88">
        <v>23804</v>
      </c>
      <c r="D40" s="315">
        <v>21494.772000000001</v>
      </c>
      <c r="E40" s="213">
        <f t="shared" si="1"/>
        <v>90.298991766089728</v>
      </c>
    </row>
    <row r="41" spans="1:5" s="30" customFormat="1" ht="60.75" customHeight="1" x14ac:dyDescent="0.3">
      <c r="A41" s="71" t="s">
        <v>166</v>
      </c>
      <c r="B41" s="105" t="s">
        <v>1</v>
      </c>
      <c r="C41" s="89">
        <v>7376</v>
      </c>
      <c r="D41" s="313">
        <v>9236</v>
      </c>
      <c r="E41" s="213">
        <f t="shared" si="1"/>
        <v>125.21691973969631</v>
      </c>
    </row>
    <row r="42" spans="1:5" s="30" customFormat="1" ht="36" customHeight="1" thickBot="1" x14ac:dyDescent="0.35">
      <c r="A42" s="52" t="s">
        <v>147</v>
      </c>
      <c r="B42" s="33" t="s">
        <v>108</v>
      </c>
      <c r="C42" s="123">
        <v>270</v>
      </c>
      <c r="D42" s="316">
        <v>471</v>
      </c>
      <c r="E42" s="295">
        <f t="shared" si="1"/>
        <v>174.44444444444446</v>
      </c>
    </row>
    <row r="43" spans="1:5" ht="36" customHeight="1" thickBot="1" x14ac:dyDescent="0.35">
      <c r="A43" s="25" t="s">
        <v>63</v>
      </c>
      <c r="B43" s="22" t="s">
        <v>13</v>
      </c>
      <c r="C43" s="290">
        <f>SUM(C44:C47)</f>
        <v>0</v>
      </c>
      <c r="D43" s="106">
        <f>SUM(D44:D47)</f>
        <v>102.905</v>
      </c>
      <c r="E43" s="296">
        <v>0</v>
      </c>
    </row>
    <row r="44" spans="1:5" s="30" customFormat="1" ht="29.25" customHeight="1" x14ac:dyDescent="0.3">
      <c r="A44" s="39" t="s">
        <v>176</v>
      </c>
      <c r="B44" s="36" t="s">
        <v>88</v>
      </c>
      <c r="C44" s="90">
        <v>0</v>
      </c>
      <c r="D44" s="317">
        <v>31.795999999999999</v>
      </c>
      <c r="E44" s="228">
        <v>0</v>
      </c>
    </row>
    <row r="45" spans="1:5" s="30" customFormat="1" ht="19.5" customHeight="1" x14ac:dyDescent="0.3">
      <c r="A45" s="39" t="s">
        <v>177</v>
      </c>
      <c r="B45" s="47" t="s">
        <v>89</v>
      </c>
      <c r="C45" s="88">
        <v>0</v>
      </c>
      <c r="D45" s="313">
        <v>1.794</v>
      </c>
      <c r="E45" s="222">
        <v>0</v>
      </c>
    </row>
    <row r="46" spans="1:5" s="30" customFormat="1" ht="45.75" customHeight="1" x14ac:dyDescent="0.3">
      <c r="A46" s="39" t="s">
        <v>178</v>
      </c>
      <c r="B46" s="31" t="s">
        <v>109</v>
      </c>
      <c r="C46" s="89">
        <v>0</v>
      </c>
      <c r="D46" s="313">
        <v>1.357</v>
      </c>
      <c r="E46" s="222">
        <v>0</v>
      </c>
    </row>
    <row r="47" spans="1:5" s="30" customFormat="1" ht="25.5" customHeight="1" thickBot="1" x14ac:dyDescent="0.35">
      <c r="A47" s="173" t="s">
        <v>302</v>
      </c>
      <c r="B47" s="174" t="s">
        <v>301</v>
      </c>
      <c r="C47" s="123">
        <v>0</v>
      </c>
      <c r="D47" s="316">
        <v>67.957999999999998</v>
      </c>
      <c r="E47" s="232">
        <v>0</v>
      </c>
    </row>
    <row r="48" spans="1:5" ht="38.25" customHeight="1" thickBot="1" x14ac:dyDescent="0.35">
      <c r="A48" s="172" t="s">
        <v>47</v>
      </c>
      <c r="B48" s="12" t="s">
        <v>29</v>
      </c>
      <c r="C48" s="97">
        <f>SUM(C49:C50,C54:C55,C60:C61)</f>
        <v>757202.18900000001</v>
      </c>
      <c r="D48" s="318">
        <f>SUM(D49:D50,D54:D55,D60:D61)</f>
        <v>631924.54299999983</v>
      </c>
      <c r="E48" s="297">
        <f t="shared" ref="E48:E94" si="2">D48/C48*100</f>
        <v>83.455192309276299</v>
      </c>
    </row>
    <row r="49" spans="1:5" s="30" customFormat="1" ht="51" customHeight="1" x14ac:dyDescent="0.35">
      <c r="A49" s="23" t="s">
        <v>148</v>
      </c>
      <c r="B49" s="10" t="s">
        <v>379</v>
      </c>
      <c r="C49" s="83">
        <v>2300</v>
      </c>
      <c r="D49" s="319">
        <v>4325.6450000000004</v>
      </c>
      <c r="E49" s="221">
        <f t="shared" si="2"/>
        <v>188.07152173913045</v>
      </c>
    </row>
    <row r="50" spans="1:5" ht="71.25" customHeight="1" x14ac:dyDescent="0.35">
      <c r="A50" s="23" t="s">
        <v>167</v>
      </c>
      <c r="B50" s="9" t="s">
        <v>48</v>
      </c>
      <c r="C50" s="81">
        <f>SUM(C51:C53)</f>
        <v>622000</v>
      </c>
      <c r="D50" s="310">
        <f>SUM(D51:D53)</f>
        <v>523201.64600000001</v>
      </c>
      <c r="E50" s="221">
        <f t="shared" si="2"/>
        <v>84.116020257234723</v>
      </c>
    </row>
    <row r="51" spans="1:5" s="60" customFormat="1" ht="22.5" customHeight="1" x14ac:dyDescent="0.3">
      <c r="A51" s="64" t="s">
        <v>181</v>
      </c>
      <c r="B51" s="31" t="s">
        <v>119</v>
      </c>
      <c r="C51" s="89">
        <v>577000</v>
      </c>
      <c r="D51" s="313">
        <v>513457.96600000001</v>
      </c>
      <c r="E51" s="222">
        <f t="shared" si="2"/>
        <v>88.987515771230505</v>
      </c>
    </row>
    <row r="52" spans="1:5" s="60" customFormat="1" ht="21.75" customHeight="1" x14ac:dyDescent="0.3">
      <c r="A52" s="64" t="s">
        <v>182</v>
      </c>
      <c r="B52" s="31" t="s">
        <v>120</v>
      </c>
      <c r="C52" s="89">
        <v>40000</v>
      </c>
      <c r="D52" s="313">
        <v>7343.68</v>
      </c>
      <c r="E52" s="222">
        <f t="shared" si="2"/>
        <v>18.359200000000001</v>
      </c>
    </row>
    <row r="53" spans="1:5" s="60" customFormat="1" ht="20.25" customHeight="1" x14ac:dyDescent="0.3">
      <c r="A53" s="64" t="s">
        <v>183</v>
      </c>
      <c r="B53" s="31" t="s">
        <v>121</v>
      </c>
      <c r="C53" s="89">
        <v>5000</v>
      </c>
      <c r="D53" s="313">
        <v>2400</v>
      </c>
      <c r="E53" s="222">
        <f t="shared" si="2"/>
        <v>48</v>
      </c>
    </row>
    <row r="54" spans="1:5" s="60" customFormat="1" ht="58.5" customHeight="1" x14ac:dyDescent="0.35">
      <c r="A54" s="5" t="s">
        <v>22</v>
      </c>
      <c r="B54" s="9" t="s">
        <v>185</v>
      </c>
      <c r="C54" s="81">
        <v>3000</v>
      </c>
      <c r="D54" s="310">
        <v>765.32799999999997</v>
      </c>
      <c r="E54" s="221">
        <f t="shared" si="2"/>
        <v>25.51093333333333</v>
      </c>
    </row>
    <row r="55" spans="1:5" ht="54" customHeight="1" x14ac:dyDescent="0.35">
      <c r="A55" s="5" t="s">
        <v>149</v>
      </c>
      <c r="B55" s="9" t="s">
        <v>186</v>
      </c>
      <c r="C55" s="81">
        <f>SUM(C56:C59)</f>
        <v>104879.469</v>
      </c>
      <c r="D55" s="320">
        <f>SUM(D56:D59)</f>
        <v>90122.596999999994</v>
      </c>
      <c r="E55" s="221">
        <f t="shared" si="2"/>
        <v>85.929684674509559</v>
      </c>
    </row>
    <row r="56" spans="1:5" ht="46.5" customHeight="1" x14ac:dyDescent="0.3">
      <c r="A56" s="32" t="s">
        <v>150</v>
      </c>
      <c r="B56" s="31" t="s">
        <v>187</v>
      </c>
      <c r="C56" s="89">
        <v>2194.509</v>
      </c>
      <c r="D56" s="313">
        <v>1721.586</v>
      </c>
      <c r="E56" s="222">
        <f t="shared" si="2"/>
        <v>78.449712441370707</v>
      </c>
    </row>
    <row r="57" spans="1:5" ht="49.5" customHeight="1" x14ac:dyDescent="0.3">
      <c r="A57" s="32" t="s">
        <v>151</v>
      </c>
      <c r="B57" s="31" t="s">
        <v>188</v>
      </c>
      <c r="C57" s="89">
        <v>81181.279999999999</v>
      </c>
      <c r="D57" s="313">
        <v>68958.347999999998</v>
      </c>
      <c r="E57" s="222">
        <f t="shared" si="2"/>
        <v>84.943656961309316</v>
      </c>
    </row>
    <row r="58" spans="1:5" ht="63" customHeight="1" x14ac:dyDescent="0.3">
      <c r="A58" s="32" t="s">
        <v>152</v>
      </c>
      <c r="B58" s="31" t="s">
        <v>189</v>
      </c>
      <c r="C58" s="89">
        <v>457.68</v>
      </c>
      <c r="D58" s="313">
        <v>470.96100000000001</v>
      </c>
      <c r="E58" s="222">
        <f t="shared" si="2"/>
        <v>102.90180912427897</v>
      </c>
    </row>
    <row r="59" spans="1:5" ht="47.25" customHeight="1" x14ac:dyDescent="0.3">
      <c r="A59" s="32" t="s">
        <v>153</v>
      </c>
      <c r="B59" s="31" t="s">
        <v>190</v>
      </c>
      <c r="C59" s="89">
        <v>21046</v>
      </c>
      <c r="D59" s="313">
        <v>18971.702000000001</v>
      </c>
      <c r="E59" s="222">
        <f t="shared" si="2"/>
        <v>90.143979853653917</v>
      </c>
    </row>
    <row r="60" spans="1:5" ht="51.75" customHeight="1" x14ac:dyDescent="0.35">
      <c r="A60" s="5" t="s">
        <v>154</v>
      </c>
      <c r="B60" s="9" t="s">
        <v>30</v>
      </c>
      <c r="C60" s="81">
        <v>22600</v>
      </c>
      <c r="D60" s="310">
        <v>11396.763999999999</v>
      </c>
      <c r="E60" s="221">
        <f t="shared" si="2"/>
        <v>50.428159292035389</v>
      </c>
    </row>
    <row r="61" spans="1:5" ht="54.75" customHeight="1" thickBot="1" x14ac:dyDescent="0.4">
      <c r="A61" s="27" t="s">
        <v>155</v>
      </c>
      <c r="B61" s="9" t="s">
        <v>2</v>
      </c>
      <c r="C61" s="81">
        <v>2422.7199999999998</v>
      </c>
      <c r="D61" s="321">
        <v>2112.5630000000001</v>
      </c>
      <c r="E61" s="221">
        <f t="shared" si="2"/>
        <v>87.197984084004759</v>
      </c>
    </row>
    <row r="62" spans="1:5" ht="27" customHeight="1" thickBot="1" x14ac:dyDescent="0.35">
      <c r="A62" s="20" t="s">
        <v>49</v>
      </c>
      <c r="B62" s="22" t="s">
        <v>390</v>
      </c>
      <c r="C62" s="74">
        <f>C63</f>
        <v>17900</v>
      </c>
      <c r="D62" s="201">
        <f>D63</f>
        <v>19341.379000000001</v>
      </c>
      <c r="E62" s="294">
        <f t="shared" si="2"/>
        <v>108.05239664804469</v>
      </c>
    </row>
    <row r="63" spans="1:5" s="178" customFormat="1" ht="23.25" customHeight="1" x14ac:dyDescent="0.35">
      <c r="A63" s="236" t="s">
        <v>311</v>
      </c>
      <c r="B63" s="281" t="s">
        <v>31</v>
      </c>
      <c r="C63" s="171">
        <f>SUM(C64:C68)</f>
        <v>17900</v>
      </c>
      <c r="D63" s="322">
        <f>SUM(D64:D68)</f>
        <v>19341.379000000001</v>
      </c>
      <c r="E63" s="224">
        <f t="shared" si="2"/>
        <v>108.05239664804469</v>
      </c>
    </row>
    <row r="64" spans="1:5" ht="21" customHeight="1" x14ac:dyDescent="0.3">
      <c r="A64" s="176" t="s">
        <v>304</v>
      </c>
      <c r="B64" s="31" t="s">
        <v>303</v>
      </c>
      <c r="C64" s="89">
        <v>9097</v>
      </c>
      <c r="D64" s="313">
        <v>496.14699999999999</v>
      </c>
      <c r="E64" s="222">
        <f t="shared" si="2"/>
        <v>5.4539628448939208</v>
      </c>
    </row>
    <row r="65" spans="1:5" ht="24.75" customHeight="1" x14ac:dyDescent="0.3">
      <c r="A65" s="175" t="s">
        <v>305</v>
      </c>
      <c r="B65" s="31" t="s">
        <v>306</v>
      </c>
      <c r="C65" s="89">
        <v>303</v>
      </c>
      <c r="D65" s="313">
        <v>792.57899999999995</v>
      </c>
      <c r="E65" s="222">
        <f t="shared" si="2"/>
        <v>261.57722772277225</v>
      </c>
    </row>
    <row r="66" spans="1:5" ht="21" customHeight="1" x14ac:dyDescent="0.3">
      <c r="A66" s="176" t="s">
        <v>307</v>
      </c>
      <c r="B66" s="31" t="s">
        <v>479</v>
      </c>
      <c r="C66" s="89">
        <v>712</v>
      </c>
      <c r="D66" s="313">
        <v>607.66399999999999</v>
      </c>
      <c r="E66" s="222">
        <f t="shared" si="2"/>
        <v>85.346067415730332</v>
      </c>
    </row>
    <row r="67" spans="1:5" ht="16.5" customHeight="1" x14ac:dyDescent="0.3">
      <c r="A67" s="176" t="s">
        <v>308</v>
      </c>
      <c r="B67" s="31" t="s">
        <v>309</v>
      </c>
      <c r="C67" s="89">
        <v>7758</v>
      </c>
      <c r="D67" s="313">
        <v>16800.786</v>
      </c>
      <c r="E67" s="222">
        <f t="shared" si="2"/>
        <v>216.56078886310905</v>
      </c>
    </row>
    <row r="68" spans="1:5" ht="25.5" customHeight="1" thickBot="1" x14ac:dyDescent="0.35">
      <c r="A68" s="177" t="s">
        <v>312</v>
      </c>
      <c r="B68" s="179" t="s">
        <v>310</v>
      </c>
      <c r="C68" s="123">
        <v>30</v>
      </c>
      <c r="D68" s="316">
        <v>644.20299999999997</v>
      </c>
      <c r="E68" s="222">
        <f t="shared" si="2"/>
        <v>2147.3433333333332</v>
      </c>
    </row>
    <row r="69" spans="1:5" ht="30" customHeight="1" thickBot="1" x14ac:dyDescent="0.35">
      <c r="A69" s="25" t="s">
        <v>65</v>
      </c>
      <c r="B69" s="46" t="s">
        <v>391</v>
      </c>
      <c r="C69" s="74">
        <f>C70+C75</f>
        <v>11991.000000000002</v>
      </c>
      <c r="D69" s="201">
        <f t="shared" ref="D69" si="3">D70+D75</f>
        <v>13313.447</v>
      </c>
      <c r="E69" s="294">
        <f t="shared" si="2"/>
        <v>111.02866316403967</v>
      </c>
    </row>
    <row r="70" spans="1:5" ht="35.25" customHeight="1" x14ac:dyDescent="0.35">
      <c r="A70" s="72" t="s">
        <v>184</v>
      </c>
      <c r="B70" s="9" t="s">
        <v>192</v>
      </c>
      <c r="C70" s="80">
        <f>SUM(C71:C74)</f>
        <v>3714.3629999999998</v>
      </c>
      <c r="D70" s="309">
        <f>SUM(D71:D74)</f>
        <v>4056.0379999999996</v>
      </c>
      <c r="E70" s="220">
        <f t="shared" si="2"/>
        <v>109.19875090291389</v>
      </c>
    </row>
    <row r="71" spans="1:5" s="60" customFormat="1" ht="21.75" customHeight="1" x14ac:dyDescent="0.3">
      <c r="A71" s="39" t="s">
        <v>467</v>
      </c>
      <c r="B71" s="33" t="s">
        <v>468</v>
      </c>
      <c r="C71" s="91">
        <v>1.2</v>
      </c>
      <c r="D71" s="323">
        <v>5.9</v>
      </c>
      <c r="E71" s="222">
        <f t="shared" si="2"/>
        <v>491.66666666666669</v>
      </c>
    </row>
    <row r="72" spans="1:5" ht="15.75" customHeight="1" x14ac:dyDescent="0.3">
      <c r="A72" s="39" t="s">
        <v>196</v>
      </c>
      <c r="B72" s="66" t="s">
        <v>503</v>
      </c>
      <c r="C72" s="91">
        <v>1094.0139999999999</v>
      </c>
      <c r="D72" s="200">
        <v>1193.5139999999999</v>
      </c>
      <c r="E72" s="222">
        <f t="shared" si="2"/>
        <v>109.09494759664868</v>
      </c>
    </row>
    <row r="73" spans="1:5" ht="28.5" customHeight="1" x14ac:dyDescent="0.3">
      <c r="A73" s="39" t="s">
        <v>197</v>
      </c>
      <c r="B73" s="51" t="s">
        <v>195</v>
      </c>
      <c r="C73" s="91">
        <v>2079.605</v>
      </c>
      <c r="D73" s="323">
        <v>2264.2089999999998</v>
      </c>
      <c r="E73" s="222">
        <f t="shared" si="2"/>
        <v>108.87687806097792</v>
      </c>
    </row>
    <row r="74" spans="1:5" ht="29.25" customHeight="1" x14ac:dyDescent="0.3">
      <c r="A74" s="39" t="s">
        <v>198</v>
      </c>
      <c r="B74" s="49" t="s">
        <v>281</v>
      </c>
      <c r="C74" s="91">
        <v>539.54399999999998</v>
      </c>
      <c r="D74" s="323">
        <v>592.41499999999996</v>
      </c>
      <c r="E74" s="222">
        <f t="shared" si="2"/>
        <v>109.79920080660706</v>
      </c>
    </row>
    <row r="75" spans="1:5" s="67" customFormat="1" ht="24" customHeight="1" x14ac:dyDescent="0.35">
      <c r="A75" s="72" t="s">
        <v>193</v>
      </c>
      <c r="B75" s="9" t="s">
        <v>194</v>
      </c>
      <c r="C75" s="81">
        <f>SUM(C76:C89)</f>
        <v>8276.6370000000024</v>
      </c>
      <c r="D75" s="310">
        <f>SUM(D76:D89)</f>
        <v>9257.4090000000015</v>
      </c>
      <c r="E75" s="221">
        <f t="shared" si="2"/>
        <v>111.84988540635526</v>
      </c>
    </row>
    <row r="76" spans="1:5" s="60" customFormat="1" ht="22.5" customHeight="1" x14ac:dyDescent="0.3">
      <c r="A76" s="39" t="s">
        <v>268</v>
      </c>
      <c r="B76" s="31" t="s">
        <v>275</v>
      </c>
      <c r="C76" s="89">
        <v>833.81799999999998</v>
      </c>
      <c r="D76" s="313">
        <v>833.81799999999998</v>
      </c>
      <c r="E76" s="222">
        <f t="shared" si="2"/>
        <v>100</v>
      </c>
    </row>
    <row r="77" spans="1:5" s="60" customFormat="1" ht="22.5" customHeight="1" x14ac:dyDescent="0.3">
      <c r="A77" s="39" t="s">
        <v>355</v>
      </c>
      <c r="B77" s="31" t="s">
        <v>356</v>
      </c>
      <c r="C77" s="89">
        <v>62.765999999999998</v>
      </c>
      <c r="D77" s="313">
        <v>92.994</v>
      </c>
      <c r="E77" s="222">
        <f t="shared" si="2"/>
        <v>148.15983175604629</v>
      </c>
    </row>
    <row r="78" spans="1:5" s="60" customFormat="1" ht="22.5" customHeight="1" x14ac:dyDescent="0.3">
      <c r="A78" s="39" t="s">
        <v>336</v>
      </c>
      <c r="B78" s="49" t="s">
        <v>344</v>
      </c>
      <c r="C78" s="89">
        <v>4.6970000000000001</v>
      </c>
      <c r="D78" s="313">
        <v>4.6970000000000001</v>
      </c>
      <c r="E78" s="222">
        <f t="shared" si="2"/>
        <v>100</v>
      </c>
    </row>
    <row r="79" spans="1:5" ht="18" customHeight="1" x14ac:dyDescent="0.3">
      <c r="A79" s="39" t="s">
        <v>199</v>
      </c>
      <c r="B79" s="49" t="s">
        <v>273</v>
      </c>
      <c r="C79" s="89">
        <v>2073.9520000000002</v>
      </c>
      <c r="D79" s="313">
        <v>2425.6</v>
      </c>
      <c r="E79" s="222">
        <f t="shared" si="2"/>
        <v>116.95545509249972</v>
      </c>
    </row>
    <row r="80" spans="1:5" ht="18" customHeight="1" x14ac:dyDescent="0.3">
      <c r="A80" s="39" t="s">
        <v>269</v>
      </c>
      <c r="B80" s="49" t="s">
        <v>274</v>
      </c>
      <c r="C80" s="89">
        <v>35.061999999999998</v>
      </c>
      <c r="D80" s="313">
        <v>35.061999999999998</v>
      </c>
      <c r="E80" s="222">
        <f t="shared" si="2"/>
        <v>100</v>
      </c>
    </row>
    <row r="81" spans="1:5" ht="19.5" customHeight="1" x14ac:dyDescent="0.3">
      <c r="A81" s="39" t="s">
        <v>270</v>
      </c>
      <c r="B81" s="49" t="s">
        <v>280</v>
      </c>
      <c r="C81" s="89">
        <v>1862.242</v>
      </c>
      <c r="D81" s="313">
        <v>1911.6790000000001</v>
      </c>
      <c r="E81" s="222">
        <f t="shared" si="2"/>
        <v>102.65470330923694</v>
      </c>
    </row>
    <row r="82" spans="1:5" s="45" customFormat="1" ht="22.5" customHeight="1" x14ac:dyDescent="0.3">
      <c r="A82" s="39" t="s">
        <v>200</v>
      </c>
      <c r="B82" s="49" t="s">
        <v>272</v>
      </c>
      <c r="C82" s="89">
        <v>640.529</v>
      </c>
      <c r="D82" s="313">
        <v>803.64400000000001</v>
      </c>
      <c r="E82" s="222">
        <f t="shared" si="2"/>
        <v>125.46566978232055</v>
      </c>
    </row>
    <row r="83" spans="1:5" s="45" customFormat="1" ht="18.75" customHeight="1" x14ac:dyDescent="0.3">
      <c r="A83" s="39" t="s">
        <v>276</v>
      </c>
      <c r="B83" s="49" t="s">
        <v>271</v>
      </c>
      <c r="C83" s="89">
        <v>95.176000000000002</v>
      </c>
      <c r="D83" s="313">
        <v>130.41200000000001</v>
      </c>
      <c r="E83" s="222">
        <f t="shared" si="2"/>
        <v>137.02193830377408</v>
      </c>
    </row>
    <row r="84" spans="1:5" s="45" customFormat="1" ht="21" customHeight="1" x14ac:dyDescent="0.3">
      <c r="A84" s="39" t="s">
        <v>314</v>
      </c>
      <c r="B84" s="49" t="s">
        <v>313</v>
      </c>
      <c r="C84" s="89">
        <v>1223.095</v>
      </c>
      <c r="D84" s="313">
        <v>1291.395</v>
      </c>
      <c r="E84" s="222">
        <f t="shared" si="2"/>
        <v>105.58419419587194</v>
      </c>
    </row>
    <row r="85" spans="1:5" s="45" customFormat="1" ht="20.25" customHeight="1" x14ac:dyDescent="0.3">
      <c r="A85" s="39" t="s">
        <v>277</v>
      </c>
      <c r="B85" s="49" t="s">
        <v>283</v>
      </c>
      <c r="C85" s="89">
        <v>242.53299999999999</v>
      </c>
      <c r="D85" s="313">
        <v>262.03300000000002</v>
      </c>
      <c r="E85" s="222">
        <f t="shared" si="2"/>
        <v>108.04014299085074</v>
      </c>
    </row>
    <row r="86" spans="1:5" s="45" customFormat="1" ht="29.25" customHeight="1" x14ac:dyDescent="0.3">
      <c r="A86" s="39" t="s">
        <v>315</v>
      </c>
      <c r="B86" s="49" t="s">
        <v>316</v>
      </c>
      <c r="C86" s="89">
        <v>17.521999999999998</v>
      </c>
      <c r="D86" s="313">
        <v>17.521999999999998</v>
      </c>
      <c r="E86" s="222">
        <f t="shared" si="2"/>
        <v>100</v>
      </c>
    </row>
    <row r="87" spans="1:5" s="45" customFormat="1" ht="24.75" customHeight="1" x14ac:dyDescent="0.3">
      <c r="A87" s="39" t="s">
        <v>469</v>
      </c>
      <c r="B87" s="49" t="s">
        <v>510</v>
      </c>
      <c r="C87" s="89">
        <v>33.06</v>
      </c>
      <c r="D87" s="313">
        <v>33.06</v>
      </c>
      <c r="E87" s="222">
        <f t="shared" si="2"/>
        <v>100</v>
      </c>
    </row>
    <row r="88" spans="1:5" s="45" customFormat="1" ht="31.5" customHeight="1" x14ac:dyDescent="0.3">
      <c r="A88" s="39" t="s">
        <v>278</v>
      </c>
      <c r="B88" s="49" t="s">
        <v>511</v>
      </c>
      <c r="C88" s="89">
        <v>751.46100000000001</v>
      </c>
      <c r="D88" s="313">
        <v>751.46100000000001</v>
      </c>
      <c r="E88" s="222">
        <f t="shared" si="2"/>
        <v>100</v>
      </c>
    </row>
    <row r="89" spans="1:5" s="45" customFormat="1" ht="31.5" customHeight="1" thickBot="1" x14ac:dyDescent="0.35">
      <c r="A89" s="39" t="s">
        <v>279</v>
      </c>
      <c r="B89" s="49" t="s">
        <v>282</v>
      </c>
      <c r="C89" s="89">
        <v>400.72399999999999</v>
      </c>
      <c r="D89" s="316">
        <v>664.03200000000004</v>
      </c>
      <c r="E89" s="222">
        <f t="shared" si="2"/>
        <v>165.70806839620289</v>
      </c>
    </row>
    <row r="90" spans="1:5" ht="31.5" customHeight="1" thickBot="1" x14ac:dyDescent="0.35">
      <c r="A90" s="20" t="s">
        <v>50</v>
      </c>
      <c r="B90" s="13" t="s">
        <v>64</v>
      </c>
      <c r="C90" s="74">
        <f>SUM(C91,C95:C96,C97:C100)</f>
        <v>174331.83</v>
      </c>
      <c r="D90" s="201">
        <f t="shared" ref="D90" si="4">SUM(D91,D95:D96,D97:D100)</f>
        <v>154239.92300000001</v>
      </c>
      <c r="E90" s="294">
        <f t="shared" si="2"/>
        <v>88.474906160280668</v>
      </c>
    </row>
    <row r="91" spans="1:5" ht="29.25" customHeight="1" x14ac:dyDescent="0.35">
      <c r="A91" s="23" t="s">
        <v>157</v>
      </c>
      <c r="B91" s="14" t="s">
        <v>51</v>
      </c>
      <c r="C91" s="80">
        <f>SUM(C92:C94)</f>
        <v>23446.6</v>
      </c>
      <c r="D91" s="309">
        <f>SUM(D92:D94)</f>
        <v>20687.285</v>
      </c>
      <c r="E91" s="221">
        <f t="shared" si="2"/>
        <v>88.231491986044887</v>
      </c>
    </row>
    <row r="92" spans="1:5" ht="33" customHeight="1" x14ac:dyDescent="0.3">
      <c r="A92" s="34" t="s">
        <v>158</v>
      </c>
      <c r="B92" s="33" t="s">
        <v>70</v>
      </c>
      <c r="C92" s="91">
        <v>11480</v>
      </c>
      <c r="D92" s="323">
        <v>9440.0689999999995</v>
      </c>
      <c r="E92" s="222">
        <f t="shared" si="2"/>
        <v>82.230566202090586</v>
      </c>
    </row>
    <row r="93" spans="1:5" ht="23.25" customHeight="1" x14ac:dyDescent="0.3">
      <c r="A93" s="34" t="s">
        <v>159</v>
      </c>
      <c r="B93" s="33" t="s">
        <v>71</v>
      </c>
      <c r="C93" s="91">
        <v>5300</v>
      </c>
      <c r="D93" s="323">
        <v>5451.86</v>
      </c>
      <c r="E93" s="222">
        <f t="shared" si="2"/>
        <v>102.86528301886793</v>
      </c>
    </row>
    <row r="94" spans="1:5" ht="35.25" customHeight="1" x14ac:dyDescent="0.3">
      <c r="A94" s="34" t="s">
        <v>160</v>
      </c>
      <c r="B94" s="33" t="s">
        <v>72</v>
      </c>
      <c r="C94" s="91">
        <v>6666.6</v>
      </c>
      <c r="D94" s="323">
        <v>5795.3559999999998</v>
      </c>
      <c r="E94" s="222">
        <f t="shared" si="2"/>
        <v>86.931209312093117</v>
      </c>
    </row>
    <row r="95" spans="1:5" ht="68.25" customHeight="1" x14ac:dyDescent="0.35">
      <c r="A95" s="276" t="s">
        <v>478</v>
      </c>
      <c r="B95" s="8" t="s">
        <v>476</v>
      </c>
      <c r="C95" s="80">
        <v>0</v>
      </c>
      <c r="D95" s="324">
        <v>0.8</v>
      </c>
      <c r="E95" s="221">
        <v>0</v>
      </c>
    </row>
    <row r="96" spans="1:5" ht="70.5" customHeight="1" x14ac:dyDescent="0.35">
      <c r="A96" s="276" t="s">
        <v>482</v>
      </c>
      <c r="B96" s="8" t="s">
        <v>477</v>
      </c>
      <c r="C96" s="80">
        <v>0</v>
      </c>
      <c r="D96" s="324">
        <v>242.369</v>
      </c>
      <c r="E96" s="221">
        <v>0</v>
      </c>
    </row>
    <row r="97" spans="1:5" ht="72.75" customHeight="1" x14ac:dyDescent="0.35">
      <c r="A97" s="5" t="s">
        <v>169</v>
      </c>
      <c r="B97" s="15" t="s">
        <v>191</v>
      </c>
      <c r="C97" s="81">
        <v>107225.23</v>
      </c>
      <c r="D97" s="310">
        <v>82367.540999999997</v>
      </c>
      <c r="E97" s="221">
        <f>D97/C97*100</f>
        <v>76.817313425207857</v>
      </c>
    </row>
    <row r="98" spans="1:5" ht="71.25" customHeight="1" x14ac:dyDescent="0.35">
      <c r="A98" s="5" t="s">
        <v>357</v>
      </c>
      <c r="B98" s="15" t="s">
        <v>358</v>
      </c>
      <c r="C98" s="81">
        <v>0</v>
      </c>
      <c r="D98" s="312">
        <v>131.465</v>
      </c>
      <c r="E98" s="225">
        <v>0</v>
      </c>
    </row>
    <row r="99" spans="1:5" ht="35.25" customHeight="1" x14ac:dyDescent="0.35">
      <c r="A99" s="17" t="s">
        <v>161</v>
      </c>
      <c r="B99" s="260" t="s">
        <v>52</v>
      </c>
      <c r="C99" s="82">
        <v>38000</v>
      </c>
      <c r="D99" s="312">
        <v>45150.463000000003</v>
      </c>
      <c r="E99" s="225">
        <f t="shared" ref="E99:E107" si="5">D99/C99*100</f>
        <v>118.81700789473686</v>
      </c>
    </row>
    <row r="100" spans="1:5" ht="39" customHeight="1" thickBot="1" x14ac:dyDescent="0.4">
      <c r="A100" s="17" t="s">
        <v>470</v>
      </c>
      <c r="B100" s="260" t="s">
        <v>471</v>
      </c>
      <c r="C100" s="82">
        <v>5660</v>
      </c>
      <c r="D100" s="312">
        <v>5660</v>
      </c>
      <c r="E100" s="225">
        <f t="shared" si="5"/>
        <v>100</v>
      </c>
    </row>
    <row r="101" spans="1:5" ht="24.75" customHeight="1" thickBot="1" x14ac:dyDescent="0.35">
      <c r="A101" s="20" t="s">
        <v>53</v>
      </c>
      <c r="B101" s="13" t="s">
        <v>32</v>
      </c>
      <c r="C101" s="74">
        <f>SUM(C102:C104,C106,C109,C112,C116:C116,C119,C122,C123,C126:C127,C115,C130,C133:C134,C135)</f>
        <v>47962</v>
      </c>
      <c r="D101" s="201">
        <f>SUM(D102:D104,D106,D109,D112,D116,D119,D122,D123,D126:D127,D115,D130,D133:D134,D135)</f>
        <v>51356.995999999999</v>
      </c>
      <c r="E101" s="298">
        <f t="shared" si="5"/>
        <v>107.07851215545641</v>
      </c>
    </row>
    <row r="102" spans="1:5" s="30" customFormat="1" ht="72" customHeight="1" x14ac:dyDescent="0.35">
      <c r="A102" s="54" t="s">
        <v>405</v>
      </c>
      <c r="B102" s="282" t="s">
        <v>256</v>
      </c>
      <c r="C102" s="80">
        <v>2200</v>
      </c>
      <c r="D102" s="309">
        <v>3042.5970000000002</v>
      </c>
      <c r="E102" s="220">
        <f t="shared" si="5"/>
        <v>138.29986363636365</v>
      </c>
    </row>
    <row r="103" spans="1:5" s="30" customFormat="1" ht="39" customHeight="1" x14ac:dyDescent="0.35">
      <c r="A103" s="42" t="s">
        <v>406</v>
      </c>
      <c r="B103" s="9" t="s">
        <v>201</v>
      </c>
      <c r="C103" s="81">
        <v>286</v>
      </c>
      <c r="D103" s="310">
        <v>174.39599999999999</v>
      </c>
      <c r="E103" s="221">
        <f t="shared" si="5"/>
        <v>60.977622377622374</v>
      </c>
    </row>
    <row r="104" spans="1:5" s="30" customFormat="1" ht="49.5" customHeight="1" x14ac:dyDescent="0.35">
      <c r="A104" s="107" t="s">
        <v>100</v>
      </c>
      <c r="B104" s="9" t="s">
        <v>90</v>
      </c>
      <c r="C104" s="81">
        <f>SUM(C105:C105)</f>
        <v>935</v>
      </c>
      <c r="D104" s="310">
        <f>SUM(D105:D105)</f>
        <v>550.298</v>
      </c>
      <c r="E104" s="221">
        <f t="shared" si="5"/>
        <v>58.85540106951872</v>
      </c>
    </row>
    <row r="105" spans="1:5" s="30" customFormat="1" ht="23.25" customHeight="1" x14ac:dyDescent="0.3">
      <c r="A105" s="43" t="s">
        <v>407</v>
      </c>
      <c r="B105" s="49" t="s">
        <v>202</v>
      </c>
      <c r="C105" s="89">
        <v>935</v>
      </c>
      <c r="D105" s="313">
        <v>550.298</v>
      </c>
      <c r="E105" s="222">
        <f t="shared" si="5"/>
        <v>58.85540106951872</v>
      </c>
    </row>
    <row r="106" spans="1:5" s="30" customFormat="1" ht="55.5" customHeight="1" x14ac:dyDescent="0.35">
      <c r="A106" s="48" t="s">
        <v>91</v>
      </c>
      <c r="B106" s="9" t="s">
        <v>14</v>
      </c>
      <c r="C106" s="81">
        <f>SUM(C107:C108)</f>
        <v>18</v>
      </c>
      <c r="D106" s="310">
        <f t="shared" ref="D106" si="6">SUM(D107:D108)</f>
        <v>20.5</v>
      </c>
      <c r="E106" s="221">
        <f t="shared" si="5"/>
        <v>113.88888888888889</v>
      </c>
    </row>
    <row r="107" spans="1:5" s="30" customFormat="1" ht="32.25" customHeight="1" x14ac:dyDescent="0.3">
      <c r="A107" s="32" t="s">
        <v>408</v>
      </c>
      <c r="B107" s="49" t="s">
        <v>203</v>
      </c>
      <c r="C107" s="89">
        <v>18</v>
      </c>
      <c r="D107" s="313">
        <v>19</v>
      </c>
      <c r="E107" s="222">
        <f t="shared" si="5"/>
        <v>105.55555555555556</v>
      </c>
    </row>
    <row r="108" spans="1:5" s="30" customFormat="1" ht="22.5" customHeight="1" x14ac:dyDescent="0.3">
      <c r="A108" s="32" t="s">
        <v>483</v>
      </c>
      <c r="B108" s="51" t="s">
        <v>204</v>
      </c>
      <c r="C108" s="91">
        <v>0</v>
      </c>
      <c r="D108" s="323">
        <v>1.5</v>
      </c>
      <c r="E108" s="222">
        <v>0</v>
      </c>
    </row>
    <row r="109" spans="1:5" s="30" customFormat="1" ht="35.25" customHeight="1" x14ac:dyDescent="0.35">
      <c r="A109" s="5" t="s">
        <v>98</v>
      </c>
      <c r="B109" s="44" t="s">
        <v>92</v>
      </c>
      <c r="C109" s="80">
        <f>SUM(C110:C111)</f>
        <v>704</v>
      </c>
      <c r="D109" s="324">
        <f>SUM(D110:D111)</f>
        <v>1184.5920000000001</v>
      </c>
      <c r="E109" s="221">
        <f>D109/C109*100</f>
        <v>168.2659090909091</v>
      </c>
    </row>
    <row r="110" spans="1:5" s="30" customFormat="1" ht="18.75" customHeight="1" x14ac:dyDescent="0.3">
      <c r="A110" s="32" t="s">
        <v>409</v>
      </c>
      <c r="B110" s="49" t="s">
        <v>204</v>
      </c>
      <c r="C110" s="91">
        <v>704</v>
      </c>
      <c r="D110" s="323">
        <v>1182.5920000000001</v>
      </c>
      <c r="E110" s="222">
        <f>D110/C110*100</f>
        <v>167.9818181818182</v>
      </c>
    </row>
    <row r="111" spans="1:5" s="30" customFormat="1" ht="19.5" customHeight="1" x14ac:dyDescent="0.3">
      <c r="A111" s="32" t="s">
        <v>504</v>
      </c>
      <c r="B111" s="49" t="s">
        <v>505</v>
      </c>
      <c r="C111" s="91">
        <v>0</v>
      </c>
      <c r="D111" s="323">
        <v>2</v>
      </c>
      <c r="E111" s="222">
        <v>0</v>
      </c>
    </row>
    <row r="112" spans="1:5" s="30" customFormat="1" ht="54.75" customHeight="1" x14ac:dyDescent="0.35">
      <c r="A112" s="5" t="s">
        <v>326</v>
      </c>
      <c r="B112" s="9" t="s">
        <v>327</v>
      </c>
      <c r="C112" s="80">
        <f>C113+C114</f>
        <v>401.55</v>
      </c>
      <c r="D112" s="324">
        <f t="shared" ref="D112" si="7">D113+D114</f>
        <v>406.90899999999999</v>
      </c>
      <c r="E112" s="221">
        <f>D112/C112*100</f>
        <v>101.3345785082804</v>
      </c>
    </row>
    <row r="113" spans="1:5" s="114" customFormat="1" ht="28.5" customHeight="1" x14ac:dyDescent="0.3">
      <c r="A113" s="206" t="s">
        <v>368</v>
      </c>
      <c r="B113" s="31" t="s">
        <v>371</v>
      </c>
      <c r="C113" s="91">
        <v>401.55</v>
      </c>
      <c r="D113" s="323">
        <v>401.55</v>
      </c>
      <c r="E113" s="222">
        <f>D113/C113*100</f>
        <v>100</v>
      </c>
    </row>
    <row r="114" spans="1:5" s="114" customFormat="1" ht="31.5" customHeight="1" x14ac:dyDescent="0.3">
      <c r="A114" s="206" t="s">
        <v>369</v>
      </c>
      <c r="B114" s="31" t="s">
        <v>372</v>
      </c>
      <c r="C114" s="91">
        <v>0</v>
      </c>
      <c r="D114" s="323">
        <v>5.359</v>
      </c>
      <c r="E114" s="222">
        <v>0</v>
      </c>
    </row>
    <row r="115" spans="1:5" s="116" customFormat="1" ht="24.75" customHeight="1" x14ac:dyDescent="0.35">
      <c r="A115" s="5" t="s">
        <v>410</v>
      </c>
      <c r="B115" s="9" t="s">
        <v>285</v>
      </c>
      <c r="C115" s="80">
        <v>3700</v>
      </c>
      <c r="D115" s="324">
        <v>5300</v>
      </c>
      <c r="E115" s="221">
        <f>D115/C115*100</f>
        <v>143.24324324324326</v>
      </c>
    </row>
    <row r="116" spans="1:5" s="30" customFormat="1" ht="29.25" customHeight="1" x14ac:dyDescent="0.35">
      <c r="A116" s="188" t="s">
        <v>205</v>
      </c>
      <c r="B116" s="9" t="s">
        <v>123</v>
      </c>
      <c r="C116" s="80">
        <f>SUM(C117:C118)</f>
        <v>1202.6500000000001</v>
      </c>
      <c r="D116" s="324">
        <f>SUM(D117:D118)</f>
        <v>1479.6369999999999</v>
      </c>
      <c r="E116" s="221">
        <f>D116/C116*100</f>
        <v>123.03138901592317</v>
      </c>
    </row>
    <row r="117" spans="1:5" s="114" customFormat="1" ht="21.75" customHeight="1" x14ac:dyDescent="0.3">
      <c r="A117" s="189" t="s">
        <v>411</v>
      </c>
      <c r="B117" s="31" t="s">
        <v>257</v>
      </c>
      <c r="C117" s="91">
        <v>1002.65</v>
      </c>
      <c r="D117" s="323">
        <v>1439.1369999999999</v>
      </c>
      <c r="E117" s="222">
        <f>D117/C117*100</f>
        <v>143.53333665785669</v>
      </c>
    </row>
    <row r="118" spans="1:5" s="114" customFormat="1" ht="29.25" customHeight="1" x14ac:dyDescent="0.3">
      <c r="A118" s="189" t="s">
        <v>206</v>
      </c>
      <c r="B118" s="31" t="s">
        <v>258</v>
      </c>
      <c r="C118" s="91">
        <v>200</v>
      </c>
      <c r="D118" s="323">
        <v>40.5</v>
      </c>
      <c r="E118" s="222">
        <f>D118/C118*100</f>
        <v>20.25</v>
      </c>
    </row>
    <row r="119" spans="1:5" s="30" customFormat="1" ht="33.75" customHeight="1" x14ac:dyDescent="0.35">
      <c r="A119" s="188" t="s">
        <v>124</v>
      </c>
      <c r="B119" s="9" t="s">
        <v>99</v>
      </c>
      <c r="C119" s="80">
        <f>SUM(C120:C121)</f>
        <v>5670</v>
      </c>
      <c r="D119" s="324">
        <f>SUM(D120:D121)</f>
        <v>5726.2209999999995</v>
      </c>
      <c r="E119" s="221">
        <f>D119/C119*100</f>
        <v>100.99155202821868</v>
      </c>
    </row>
    <row r="120" spans="1:5" s="30" customFormat="1" ht="31.5" customHeight="1" x14ac:dyDescent="0.3">
      <c r="A120" s="63" t="s">
        <v>412</v>
      </c>
      <c r="B120" s="49" t="s">
        <v>18</v>
      </c>
      <c r="C120" s="91">
        <v>0</v>
      </c>
      <c r="D120" s="323">
        <v>32</v>
      </c>
      <c r="E120" s="222">
        <v>0</v>
      </c>
    </row>
    <row r="121" spans="1:5" s="30" customFormat="1" ht="28.5" customHeight="1" x14ac:dyDescent="0.3">
      <c r="A121" s="63" t="s">
        <v>17</v>
      </c>
      <c r="B121" s="49" t="s">
        <v>298</v>
      </c>
      <c r="C121" s="89">
        <v>5670</v>
      </c>
      <c r="D121" s="313">
        <v>5694.2209999999995</v>
      </c>
      <c r="E121" s="222">
        <f>D121/C121*100</f>
        <v>100.42717813051145</v>
      </c>
    </row>
    <row r="122" spans="1:5" s="30" customFormat="1" ht="22.5" customHeight="1" x14ac:dyDescent="0.35">
      <c r="A122" s="5" t="s">
        <v>413</v>
      </c>
      <c r="B122" s="50" t="s">
        <v>75</v>
      </c>
      <c r="C122" s="81">
        <v>250</v>
      </c>
      <c r="D122" s="310">
        <v>182.1</v>
      </c>
      <c r="E122" s="221">
        <f>D122/C122*100</f>
        <v>72.839999999999989</v>
      </c>
    </row>
    <row r="123" spans="1:5" s="30" customFormat="1" ht="53.25" customHeight="1" x14ac:dyDescent="0.35">
      <c r="A123" s="5" t="s">
        <v>96</v>
      </c>
      <c r="B123" s="8" t="s">
        <v>76</v>
      </c>
      <c r="C123" s="80">
        <f>SUM(C124:C125)</f>
        <v>5200</v>
      </c>
      <c r="D123" s="324">
        <f>SUM(D124:D125)</f>
        <v>5888.0160000000005</v>
      </c>
      <c r="E123" s="221">
        <f>D123/C123*100</f>
        <v>113.23107692307693</v>
      </c>
    </row>
    <row r="124" spans="1:5" s="30" customFormat="1" ht="30" customHeight="1" x14ac:dyDescent="0.3">
      <c r="A124" s="32" t="s">
        <v>414</v>
      </c>
      <c r="B124" s="49" t="s">
        <v>203</v>
      </c>
      <c r="C124" s="91">
        <v>5200</v>
      </c>
      <c r="D124" s="323">
        <v>5885.9160000000002</v>
      </c>
      <c r="E124" s="222">
        <f>D124/C124*100</f>
        <v>113.19069230769232</v>
      </c>
    </row>
    <row r="125" spans="1:5" s="30" customFormat="1" ht="19.5" customHeight="1" x14ac:dyDescent="0.3">
      <c r="A125" s="32" t="s">
        <v>506</v>
      </c>
      <c r="B125" s="51" t="s">
        <v>364</v>
      </c>
      <c r="C125" s="91">
        <v>0</v>
      </c>
      <c r="D125" s="323">
        <v>2.1</v>
      </c>
      <c r="E125" s="222">
        <v>0</v>
      </c>
    </row>
    <row r="126" spans="1:5" s="30" customFormat="1" ht="53.25" customHeight="1" x14ac:dyDescent="0.35">
      <c r="A126" s="5" t="s">
        <v>415</v>
      </c>
      <c r="B126" s="44" t="s">
        <v>328</v>
      </c>
      <c r="C126" s="80">
        <v>0</v>
      </c>
      <c r="D126" s="324">
        <v>108.5</v>
      </c>
      <c r="E126" s="221">
        <v>0</v>
      </c>
    </row>
    <row r="127" spans="1:5" s="30" customFormat="1" ht="24.75" customHeight="1" x14ac:dyDescent="0.35">
      <c r="A127" s="188" t="s">
        <v>361</v>
      </c>
      <c r="B127" s="195" t="s">
        <v>363</v>
      </c>
      <c r="C127" s="192">
        <f>C128+C129</f>
        <v>3.2</v>
      </c>
      <c r="D127" s="325">
        <f t="shared" ref="D127" si="8">D128+D129</f>
        <v>0</v>
      </c>
      <c r="E127" s="226">
        <f>D127/C127*100</f>
        <v>0</v>
      </c>
    </row>
    <row r="128" spans="1:5" s="114" customFormat="1" ht="19.5" customHeight="1" x14ac:dyDescent="0.3">
      <c r="A128" s="189" t="s">
        <v>416</v>
      </c>
      <c r="B128" s="196" t="s">
        <v>364</v>
      </c>
      <c r="C128" s="197">
        <v>0</v>
      </c>
      <c r="D128" s="326">
        <v>0</v>
      </c>
      <c r="E128" s="227">
        <v>0</v>
      </c>
    </row>
    <row r="129" spans="1:5" s="114" customFormat="1" ht="31.5" customHeight="1" x14ac:dyDescent="0.3">
      <c r="A129" s="189" t="s">
        <v>417</v>
      </c>
      <c r="B129" s="196" t="s">
        <v>366</v>
      </c>
      <c r="C129" s="197">
        <v>3.2</v>
      </c>
      <c r="D129" s="326">
        <v>0</v>
      </c>
      <c r="E129" s="227">
        <f>D129/C129*100</f>
        <v>0</v>
      </c>
    </row>
    <row r="130" spans="1:5" s="116" customFormat="1" ht="39.75" customHeight="1" x14ac:dyDescent="0.35">
      <c r="A130" s="48" t="s">
        <v>320</v>
      </c>
      <c r="B130" s="44" t="s">
        <v>207</v>
      </c>
      <c r="C130" s="80">
        <f>SUM(C131:C132)</f>
        <v>150</v>
      </c>
      <c r="D130" s="324">
        <f>SUM(D131:D132)</f>
        <v>203.684</v>
      </c>
      <c r="E130" s="221">
        <f>D130/C130*100</f>
        <v>135.78933333333333</v>
      </c>
    </row>
    <row r="131" spans="1:5" s="114" customFormat="1" ht="21" customHeight="1" x14ac:dyDescent="0.3">
      <c r="A131" s="32" t="s">
        <v>418</v>
      </c>
      <c r="B131" s="283" t="s">
        <v>319</v>
      </c>
      <c r="C131" s="91">
        <v>0</v>
      </c>
      <c r="D131" s="323">
        <v>123.684</v>
      </c>
      <c r="E131" s="222">
        <v>0</v>
      </c>
    </row>
    <row r="132" spans="1:5" s="182" customFormat="1" ht="20.25" customHeight="1" x14ac:dyDescent="0.3">
      <c r="A132" s="32" t="s">
        <v>208</v>
      </c>
      <c r="B132" s="284" t="s">
        <v>264</v>
      </c>
      <c r="C132" s="91">
        <v>150</v>
      </c>
      <c r="D132" s="323">
        <v>80</v>
      </c>
      <c r="E132" s="222">
        <f>D132/C132*100</f>
        <v>53.333333333333336</v>
      </c>
    </row>
    <row r="133" spans="1:5" s="116" customFormat="1" ht="38.25" customHeight="1" x14ac:dyDescent="0.35">
      <c r="A133" s="48" t="s">
        <v>472</v>
      </c>
      <c r="B133" s="285" t="s">
        <v>474</v>
      </c>
      <c r="C133" s="80">
        <v>0</v>
      </c>
      <c r="D133" s="324">
        <v>18.736000000000001</v>
      </c>
      <c r="E133" s="221">
        <v>0</v>
      </c>
    </row>
    <row r="134" spans="1:5" s="116" customFormat="1" ht="51" customHeight="1" x14ac:dyDescent="0.35">
      <c r="A134" s="180" t="s">
        <v>420</v>
      </c>
      <c r="B134" s="181" t="s">
        <v>419</v>
      </c>
      <c r="C134" s="80">
        <v>1180</v>
      </c>
      <c r="D134" s="324">
        <v>1999.213</v>
      </c>
      <c r="E134" s="221">
        <f>D134/C134*100</f>
        <v>169.42483050847457</v>
      </c>
    </row>
    <row r="135" spans="1:5" s="30" customFormat="1" ht="40.5" customHeight="1" x14ac:dyDescent="0.35">
      <c r="A135" s="5" t="s">
        <v>362</v>
      </c>
      <c r="B135" s="9" t="s">
        <v>73</v>
      </c>
      <c r="C135" s="186">
        <f>SUM(C136:C161)</f>
        <v>26061.599999999999</v>
      </c>
      <c r="D135" s="310">
        <f>SUM(D136:D161)</f>
        <v>25071.596999999998</v>
      </c>
      <c r="E135" s="221">
        <f>D135/C135*100</f>
        <v>96.201296159867383</v>
      </c>
    </row>
    <row r="136" spans="1:5" s="30" customFormat="1" ht="22.5" customHeight="1" x14ac:dyDescent="0.35">
      <c r="A136" s="32" t="s">
        <v>337</v>
      </c>
      <c r="B136" s="49" t="s">
        <v>329</v>
      </c>
      <c r="C136" s="190">
        <v>0</v>
      </c>
      <c r="D136" s="313">
        <v>236.70699999999999</v>
      </c>
      <c r="E136" s="221">
        <v>0</v>
      </c>
    </row>
    <row r="137" spans="1:5" s="114" customFormat="1" ht="21" customHeight="1" x14ac:dyDescent="0.3">
      <c r="A137" s="32" t="s">
        <v>265</v>
      </c>
      <c r="B137" s="49" t="s">
        <v>266</v>
      </c>
      <c r="C137" s="89">
        <v>0</v>
      </c>
      <c r="D137" s="313">
        <v>10.438000000000001</v>
      </c>
      <c r="E137" s="222">
        <v>0</v>
      </c>
    </row>
    <row r="138" spans="1:5" s="30" customFormat="1" ht="21" customHeight="1" x14ac:dyDescent="0.3">
      <c r="A138" s="32" t="s">
        <v>162</v>
      </c>
      <c r="B138" s="49" t="s">
        <v>118</v>
      </c>
      <c r="C138" s="89">
        <v>0</v>
      </c>
      <c r="D138" s="313">
        <v>108.17700000000001</v>
      </c>
      <c r="E138" s="222">
        <v>0</v>
      </c>
    </row>
    <row r="139" spans="1:5" s="30" customFormat="1" ht="20.25" customHeight="1" x14ac:dyDescent="0.3">
      <c r="A139" s="32" t="s">
        <v>330</v>
      </c>
      <c r="B139" s="49" t="s">
        <v>331</v>
      </c>
      <c r="C139" s="89">
        <v>0</v>
      </c>
      <c r="D139" s="313">
        <v>10.42</v>
      </c>
      <c r="E139" s="222">
        <v>0</v>
      </c>
    </row>
    <row r="140" spans="1:5" s="30" customFormat="1" ht="21.75" customHeight="1" x14ac:dyDescent="0.3">
      <c r="A140" s="32" t="s">
        <v>267</v>
      </c>
      <c r="B140" s="49" t="s">
        <v>332</v>
      </c>
      <c r="C140" s="89">
        <v>0</v>
      </c>
      <c r="D140" s="313">
        <v>80.319999999999993</v>
      </c>
      <c r="E140" s="222">
        <v>0</v>
      </c>
    </row>
    <row r="141" spans="1:5" s="30" customFormat="1" ht="20.25" customHeight="1" x14ac:dyDescent="0.3">
      <c r="A141" s="32" t="s">
        <v>317</v>
      </c>
      <c r="B141" s="49" t="s">
        <v>318</v>
      </c>
      <c r="C141" s="89">
        <v>0</v>
      </c>
      <c r="D141" s="313">
        <v>62.332000000000001</v>
      </c>
      <c r="E141" s="222">
        <v>0</v>
      </c>
    </row>
    <row r="142" spans="1:5" s="30" customFormat="1" ht="21.75" customHeight="1" x14ac:dyDescent="0.3">
      <c r="A142" s="32" t="s">
        <v>163</v>
      </c>
      <c r="B142" s="49" t="s">
        <v>115</v>
      </c>
      <c r="C142" s="89">
        <v>1200</v>
      </c>
      <c r="D142" s="313">
        <v>1036.4739999999999</v>
      </c>
      <c r="E142" s="222">
        <f>D142/C142*100</f>
        <v>86.372833333333332</v>
      </c>
    </row>
    <row r="143" spans="1:5" s="30" customFormat="1" ht="26.25" customHeight="1" x14ac:dyDescent="0.3">
      <c r="A143" s="32" t="s">
        <v>333</v>
      </c>
      <c r="B143" s="49" t="s">
        <v>370</v>
      </c>
      <c r="C143" s="88">
        <v>0</v>
      </c>
      <c r="D143" s="311">
        <v>23.498000000000001</v>
      </c>
      <c r="E143" s="222">
        <v>0</v>
      </c>
    </row>
    <row r="144" spans="1:5" s="30" customFormat="1" ht="33.75" customHeight="1" x14ac:dyDescent="0.3">
      <c r="A144" s="32" t="s">
        <v>164</v>
      </c>
      <c r="B144" s="49" t="s">
        <v>19</v>
      </c>
      <c r="C144" s="88">
        <v>101</v>
      </c>
      <c r="D144" s="311">
        <v>90.504000000000005</v>
      </c>
      <c r="E144" s="222">
        <f>D144/C144*100</f>
        <v>89.607920792079213</v>
      </c>
    </row>
    <row r="145" spans="1:5" s="30" customFormat="1" ht="18" customHeight="1" x14ac:dyDescent="0.3">
      <c r="A145" s="32" t="s">
        <v>373</v>
      </c>
      <c r="B145" s="49" t="s">
        <v>374</v>
      </c>
      <c r="C145" s="88">
        <v>0</v>
      </c>
      <c r="D145" s="311">
        <v>9</v>
      </c>
      <c r="E145" s="222">
        <v>0</v>
      </c>
    </row>
    <row r="146" spans="1:5" s="30" customFormat="1" ht="29.25" customHeight="1" x14ac:dyDescent="0.3">
      <c r="A146" s="32" t="s">
        <v>359</v>
      </c>
      <c r="B146" s="49" t="s">
        <v>360</v>
      </c>
      <c r="C146" s="88">
        <v>0</v>
      </c>
      <c r="D146" s="311">
        <v>73.078999999999994</v>
      </c>
      <c r="E146" s="222">
        <v>0</v>
      </c>
    </row>
    <row r="147" spans="1:5" s="30" customFormat="1" ht="30.75" customHeight="1" x14ac:dyDescent="0.3">
      <c r="A147" s="32" t="s">
        <v>338</v>
      </c>
      <c r="B147" s="49" t="s">
        <v>345</v>
      </c>
      <c r="C147" s="88">
        <v>0</v>
      </c>
      <c r="D147" s="311">
        <v>23.385999999999999</v>
      </c>
      <c r="E147" s="222">
        <v>0</v>
      </c>
    </row>
    <row r="148" spans="1:5" s="30" customFormat="1" ht="23.25" customHeight="1" x14ac:dyDescent="0.3">
      <c r="A148" s="32" t="s">
        <v>421</v>
      </c>
      <c r="B148" s="49" t="s">
        <v>284</v>
      </c>
      <c r="C148" s="88">
        <v>200</v>
      </c>
      <c r="D148" s="311">
        <v>279.39400000000001</v>
      </c>
      <c r="E148" s="222">
        <f>D148/C148*100</f>
        <v>139.697</v>
      </c>
    </row>
    <row r="149" spans="1:5" s="30" customFormat="1" ht="30.75" customHeight="1" x14ac:dyDescent="0.3">
      <c r="A149" s="32" t="s">
        <v>422</v>
      </c>
      <c r="B149" s="49" t="s">
        <v>365</v>
      </c>
      <c r="C149" s="89">
        <v>26</v>
      </c>
      <c r="D149" s="313">
        <v>0</v>
      </c>
      <c r="E149" s="222">
        <f>D149/C149*100</f>
        <v>0</v>
      </c>
    </row>
    <row r="150" spans="1:5" s="30" customFormat="1" ht="27" customHeight="1" x14ac:dyDescent="0.3">
      <c r="A150" s="32" t="s">
        <v>375</v>
      </c>
      <c r="B150" s="49" t="s">
        <v>376</v>
      </c>
      <c r="C150" s="89">
        <v>0</v>
      </c>
      <c r="D150" s="313">
        <v>184</v>
      </c>
      <c r="E150" s="222">
        <v>0</v>
      </c>
    </row>
    <row r="151" spans="1:5" s="30" customFormat="1" ht="30.75" customHeight="1" x14ac:dyDescent="0.3">
      <c r="A151" s="32" t="s">
        <v>423</v>
      </c>
      <c r="B151" s="49" t="s">
        <v>203</v>
      </c>
      <c r="C151" s="89">
        <v>1300</v>
      </c>
      <c r="D151" s="313">
        <v>1468.3579999999999</v>
      </c>
      <c r="E151" s="222">
        <f t="shared" ref="E151:E156" si="9">D151/C151*100</f>
        <v>112.95061538461538</v>
      </c>
    </row>
    <row r="152" spans="1:5" s="30" customFormat="1" ht="30" customHeight="1" x14ac:dyDescent="0.3">
      <c r="A152" s="32" t="s">
        <v>107</v>
      </c>
      <c r="B152" s="49" t="s">
        <v>20</v>
      </c>
      <c r="C152" s="89">
        <v>20.6</v>
      </c>
      <c r="D152" s="313">
        <v>6.1</v>
      </c>
      <c r="E152" s="222">
        <f t="shared" si="9"/>
        <v>29.61165048543689</v>
      </c>
    </row>
    <row r="153" spans="1:5" s="30" customFormat="1" ht="29.25" customHeight="1" x14ac:dyDescent="0.3">
      <c r="A153" s="32" t="s">
        <v>473</v>
      </c>
      <c r="B153" s="49" t="s">
        <v>259</v>
      </c>
      <c r="C153" s="89">
        <v>1587</v>
      </c>
      <c r="D153" s="313">
        <v>2252.1610000000001</v>
      </c>
      <c r="E153" s="222">
        <f t="shared" si="9"/>
        <v>141.91310649023313</v>
      </c>
    </row>
    <row r="154" spans="1:5" s="30" customFormat="1" ht="19.5" customHeight="1" x14ac:dyDescent="0.3">
      <c r="A154" s="32" t="s">
        <v>424</v>
      </c>
      <c r="B154" s="49" t="s">
        <v>260</v>
      </c>
      <c r="C154" s="89">
        <v>50</v>
      </c>
      <c r="D154" s="313">
        <v>-1</v>
      </c>
      <c r="E154" s="222">
        <f t="shared" si="9"/>
        <v>-2</v>
      </c>
    </row>
    <row r="155" spans="1:5" s="30" customFormat="1" ht="21.75" customHeight="1" x14ac:dyDescent="0.3">
      <c r="A155" s="32" t="s">
        <v>425</v>
      </c>
      <c r="B155" s="49" t="s">
        <v>364</v>
      </c>
      <c r="C155" s="89">
        <v>4800</v>
      </c>
      <c r="D155" s="313">
        <v>3265.0619999999999</v>
      </c>
      <c r="E155" s="222">
        <f t="shared" si="9"/>
        <v>68.022125000000003</v>
      </c>
    </row>
    <row r="156" spans="1:5" s="30" customFormat="1" ht="20.25" customHeight="1" x14ac:dyDescent="0.3">
      <c r="A156" s="32" t="s">
        <v>426</v>
      </c>
      <c r="B156" s="49" t="s">
        <v>261</v>
      </c>
      <c r="C156" s="89">
        <v>11700</v>
      </c>
      <c r="D156" s="313">
        <v>9296.8950000000004</v>
      </c>
      <c r="E156" s="222">
        <f t="shared" si="9"/>
        <v>79.460641025641038</v>
      </c>
    </row>
    <row r="157" spans="1:5" s="30" customFormat="1" ht="29.25" customHeight="1" x14ac:dyDescent="0.3">
      <c r="A157" s="32" t="s">
        <v>427</v>
      </c>
      <c r="B157" s="49" t="s">
        <v>508</v>
      </c>
      <c r="C157" s="89">
        <v>0</v>
      </c>
      <c r="D157" s="313">
        <v>9.6</v>
      </c>
      <c r="E157" s="222">
        <v>0</v>
      </c>
    </row>
    <row r="158" spans="1:5" s="30" customFormat="1" ht="24" customHeight="1" x14ac:dyDescent="0.3">
      <c r="A158" s="32" t="s">
        <v>507</v>
      </c>
      <c r="B158" s="49" t="s">
        <v>509</v>
      </c>
      <c r="C158" s="89">
        <v>0</v>
      </c>
      <c r="D158" s="313">
        <v>20</v>
      </c>
      <c r="E158" s="222">
        <v>0</v>
      </c>
    </row>
    <row r="159" spans="1:5" s="30" customFormat="1" ht="24.75" customHeight="1" x14ac:dyDescent="0.3">
      <c r="A159" s="32" t="s">
        <v>97</v>
      </c>
      <c r="B159" s="49" t="s">
        <v>262</v>
      </c>
      <c r="C159" s="89">
        <v>2050</v>
      </c>
      <c r="D159" s="313">
        <v>2574.6</v>
      </c>
      <c r="E159" s="222">
        <f>D159/C159*100</f>
        <v>125.59024390243903</v>
      </c>
    </row>
    <row r="160" spans="1:5" s="30" customFormat="1" ht="29.25" customHeight="1" x14ac:dyDescent="0.3">
      <c r="A160" s="32" t="s">
        <v>428</v>
      </c>
      <c r="B160" s="49" t="s">
        <v>209</v>
      </c>
      <c r="C160" s="89">
        <v>2927</v>
      </c>
      <c r="D160" s="313">
        <v>3794</v>
      </c>
      <c r="E160" s="222">
        <f>D160/C160*100</f>
        <v>129.62077212162623</v>
      </c>
    </row>
    <row r="161" spans="1:6" s="30" customFormat="1" ht="20.25" customHeight="1" thickBot="1" x14ac:dyDescent="0.35">
      <c r="A161" s="32" t="s">
        <v>21</v>
      </c>
      <c r="B161" s="49" t="s">
        <v>263</v>
      </c>
      <c r="C161" s="90">
        <v>100</v>
      </c>
      <c r="D161" s="314">
        <v>158.09200000000001</v>
      </c>
      <c r="E161" s="228">
        <f>D161/C161*100</f>
        <v>158.09200000000001</v>
      </c>
    </row>
    <row r="162" spans="1:6" ht="23.25" customHeight="1" thickBot="1" x14ac:dyDescent="0.35">
      <c r="A162" s="20" t="s">
        <v>66</v>
      </c>
      <c r="B162" s="19" t="s">
        <v>67</v>
      </c>
      <c r="C162" s="84">
        <f>C163+C164</f>
        <v>14687.2</v>
      </c>
      <c r="D162" s="201">
        <f>D163+D164</f>
        <v>14619.216</v>
      </c>
      <c r="E162" s="299">
        <f>D162/C162*100</f>
        <v>99.537120758211231</v>
      </c>
    </row>
    <row r="163" spans="1:6" s="30" customFormat="1" ht="26.25" customHeight="1" x14ac:dyDescent="0.35">
      <c r="A163" s="117" t="s">
        <v>165</v>
      </c>
      <c r="B163" s="35" t="s">
        <v>74</v>
      </c>
      <c r="C163" s="92">
        <v>0</v>
      </c>
      <c r="D163" s="319">
        <v>-82.617999999999995</v>
      </c>
      <c r="E163" s="225">
        <v>0</v>
      </c>
    </row>
    <row r="164" spans="1:6" s="30" customFormat="1" ht="22.5" customHeight="1" thickBot="1" x14ac:dyDescent="0.4">
      <c r="A164" s="118" t="s">
        <v>286</v>
      </c>
      <c r="B164" s="286" t="s">
        <v>287</v>
      </c>
      <c r="C164" s="109">
        <v>14687.2</v>
      </c>
      <c r="D164" s="321">
        <v>14701.834000000001</v>
      </c>
      <c r="E164" s="229">
        <f t="shared" ref="E164:E195" si="10">D164/C164*100</f>
        <v>100.0996377798355</v>
      </c>
    </row>
    <row r="165" spans="1:6" ht="28.5" customHeight="1" thickBot="1" x14ac:dyDescent="0.35">
      <c r="A165" s="6" t="s">
        <v>54</v>
      </c>
      <c r="B165" s="16" t="s">
        <v>35</v>
      </c>
      <c r="C165" s="74">
        <f>SUM(C166,C252,C254,C256)</f>
        <v>6422188.7649999987</v>
      </c>
      <c r="D165" s="201">
        <f>SUM(D166,D252,D254,D256)</f>
        <v>5096785.7889999999</v>
      </c>
      <c r="E165" s="294">
        <f t="shared" si="10"/>
        <v>79.362129882832875</v>
      </c>
    </row>
    <row r="166" spans="1:6" ht="27" customHeight="1" thickBot="1" x14ac:dyDescent="0.35">
      <c r="A166" s="29" t="s">
        <v>382</v>
      </c>
      <c r="B166" s="16" t="s">
        <v>101</v>
      </c>
      <c r="C166" s="74">
        <f>C167+C173+C202+C240</f>
        <v>6422846.6839999994</v>
      </c>
      <c r="D166" s="201">
        <f>D167+D173+D202+D240</f>
        <v>5100829.3190000001</v>
      </c>
      <c r="E166" s="294">
        <f t="shared" si="10"/>
        <v>79.416955906898934</v>
      </c>
    </row>
    <row r="167" spans="1:6" ht="30" customHeight="1" thickBot="1" x14ac:dyDescent="0.35">
      <c r="A167" s="29" t="s">
        <v>398</v>
      </c>
      <c r="B167" s="7" t="s">
        <v>55</v>
      </c>
      <c r="C167" s="74">
        <f>SUM(C168:C170)</f>
        <v>642012.79999999993</v>
      </c>
      <c r="D167" s="201">
        <f>SUM(D168:D170)</f>
        <v>589206.5</v>
      </c>
      <c r="E167" s="294">
        <f t="shared" si="10"/>
        <v>91.774883616027608</v>
      </c>
    </row>
    <row r="168" spans="1:6" ht="32.25" customHeight="1" x14ac:dyDescent="0.35">
      <c r="A168" s="191" t="s">
        <v>402</v>
      </c>
      <c r="B168" s="193" t="s">
        <v>346</v>
      </c>
      <c r="C168" s="184">
        <v>152021.6</v>
      </c>
      <c r="D168" s="327">
        <v>111214</v>
      </c>
      <c r="E168" s="230">
        <f t="shared" si="10"/>
        <v>73.156709309729663</v>
      </c>
      <c r="F168" s="178"/>
    </row>
    <row r="169" spans="1:6" ht="33.75" customHeight="1" x14ac:dyDescent="0.35">
      <c r="A169" s="191" t="s">
        <v>403</v>
      </c>
      <c r="B169" s="68" t="s">
        <v>322</v>
      </c>
      <c r="C169" s="192">
        <v>391409</v>
      </c>
      <c r="D169" s="328">
        <v>391409</v>
      </c>
      <c r="E169" s="231">
        <f t="shared" si="10"/>
        <v>100</v>
      </c>
    </row>
    <row r="170" spans="1:6" s="67" customFormat="1" ht="24" customHeight="1" x14ac:dyDescent="0.35">
      <c r="A170" s="183" t="s">
        <v>404</v>
      </c>
      <c r="B170" s="76" t="s">
        <v>15</v>
      </c>
      <c r="C170" s="83">
        <f>C171+C172</f>
        <v>98582.2</v>
      </c>
      <c r="D170" s="320">
        <f>D171+D172</f>
        <v>86583.5</v>
      </c>
      <c r="E170" s="221">
        <f t="shared" si="10"/>
        <v>87.828735816404986</v>
      </c>
    </row>
    <row r="171" spans="1:6" s="60" customFormat="1" ht="27.75" customHeight="1" x14ac:dyDescent="0.3">
      <c r="A171" s="207"/>
      <c r="B171" s="205" t="s">
        <v>218</v>
      </c>
      <c r="C171" s="88">
        <v>71992.2</v>
      </c>
      <c r="D171" s="329">
        <v>59993.5</v>
      </c>
      <c r="E171" s="213">
        <f t="shared" si="10"/>
        <v>83.333333333333343</v>
      </c>
    </row>
    <row r="172" spans="1:6" s="60" customFormat="1" ht="34.5" customHeight="1" thickBot="1" x14ac:dyDescent="0.35">
      <c r="A172" s="208"/>
      <c r="B172" s="205" t="s">
        <v>367</v>
      </c>
      <c r="C172" s="88">
        <v>26590</v>
      </c>
      <c r="D172" s="330">
        <v>26590</v>
      </c>
      <c r="E172" s="213">
        <f t="shared" si="10"/>
        <v>100</v>
      </c>
    </row>
    <row r="173" spans="1:6" ht="36.75" customHeight="1" thickBot="1" x14ac:dyDescent="0.35">
      <c r="A173" s="77" t="s">
        <v>399</v>
      </c>
      <c r="B173" s="287" t="s">
        <v>56</v>
      </c>
      <c r="C173" s="74">
        <f>SUM(C174,C175:C176,C182,C177,C183)</f>
        <v>1482755.6</v>
      </c>
      <c r="D173" s="201">
        <f t="shared" ref="D173" si="11">SUM(D174,D175:D176,D182,D177,D183)</f>
        <v>911486.21000000008</v>
      </c>
      <c r="E173" s="294">
        <f t="shared" si="10"/>
        <v>61.472451022946743</v>
      </c>
    </row>
    <row r="174" spans="1:6" s="178" customFormat="1" ht="21.75" customHeight="1" thickBot="1" x14ac:dyDescent="0.4">
      <c r="A174" s="259" t="s">
        <v>453</v>
      </c>
      <c r="B174" s="258" t="s">
        <v>454</v>
      </c>
      <c r="C174" s="291">
        <v>52962.1</v>
      </c>
      <c r="D174" s="324">
        <v>52962.057000000001</v>
      </c>
      <c r="E174" s="280">
        <f t="shared" si="10"/>
        <v>99.999918809865932</v>
      </c>
    </row>
    <row r="175" spans="1:6" ht="48.75" customHeight="1" x14ac:dyDescent="0.35">
      <c r="A175" s="191" t="s">
        <v>5</v>
      </c>
      <c r="B175" s="44" t="s">
        <v>122</v>
      </c>
      <c r="C175" s="80">
        <v>76830</v>
      </c>
      <c r="D175" s="320">
        <v>76829</v>
      </c>
      <c r="E175" s="220">
        <f t="shared" si="10"/>
        <v>99.998698425094375</v>
      </c>
    </row>
    <row r="176" spans="1:6" ht="24" customHeight="1" x14ac:dyDescent="0.35">
      <c r="A176" s="191" t="s">
        <v>456</v>
      </c>
      <c r="B176" s="44" t="s">
        <v>457</v>
      </c>
      <c r="C176" s="80">
        <v>4122.1000000000004</v>
      </c>
      <c r="D176" s="310">
        <v>4122.0749999999998</v>
      </c>
      <c r="E176" s="220">
        <f t="shared" si="10"/>
        <v>99.999393513015207</v>
      </c>
    </row>
    <row r="177" spans="1:5" ht="31.5" customHeight="1" x14ac:dyDescent="0.35">
      <c r="A177" s="61" t="s">
        <v>6</v>
      </c>
      <c r="B177" s="62" t="s">
        <v>105</v>
      </c>
      <c r="C177" s="81">
        <f>SUM(C178:C181)</f>
        <v>521679.7</v>
      </c>
      <c r="D177" s="310">
        <f>SUM(D178:D181)</f>
        <v>274019.34999999998</v>
      </c>
      <c r="E177" s="221">
        <f t="shared" si="10"/>
        <v>52.526358606631604</v>
      </c>
    </row>
    <row r="178" spans="1:5" s="60" customFormat="1" ht="45" customHeight="1" x14ac:dyDescent="0.3">
      <c r="A178" s="108" t="s">
        <v>349</v>
      </c>
      <c r="B178" s="65" t="s">
        <v>348</v>
      </c>
      <c r="C178" s="89">
        <v>331856.5</v>
      </c>
      <c r="D178" s="313">
        <v>100245.79</v>
      </c>
      <c r="E178" s="222">
        <f t="shared" si="10"/>
        <v>30.207571646178394</v>
      </c>
    </row>
    <row r="179" spans="1:5" s="60" customFormat="1" ht="27.75" customHeight="1" x14ac:dyDescent="0.3">
      <c r="A179" s="108" t="s">
        <v>212</v>
      </c>
      <c r="B179" s="65" t="s">
        <v>213</v>
      </c>
      <c r="C179" s="89">
        <v>50205.2</v>
      </c>
      <c r="D179" s="313">
        <v>34155.56</v>
      </c>
      <c r="E179" s="222">
        <f t="shared" si="10"/>
        <v>68.031917012580365</v>
      </c>
    </row>
    <row r="180" spans="1:5" s="60" customFormat="1" ht="28.5" customHeight="1" x14ac:dyDescent="0.3">
      <c r="A180" s="108" t="s">
        <v>210</v>
      </c>
      <c r="B180" s="65" t="s">
        <v>449</v>
      </c>
      <c r="C180" s="89">
        <v>15000</v>
      </c>
      <c r="D180" s="313">
        <v>15000</v>
      </c>
      <c r="E180" s="222">
        <f t="shared" si="10"/>
        <v>100</v>
      </c>
    </row>
    <row r="181" spans="1:5" s="60" customFormat="1" ht="30" customHeight="1" x14ac:dyDescent="0.3">
      <c r="A181" s="108" t="s">
        <v>339</v>
      </c>
      <c r="B181" s="65" t="s">
        <v>325</v>
      </c>
      <c r="C181" s="89">
        <v>124618</v>
      </c>
      <c r="D181" s="313">
        <v>124618</v>
      </c>
      <c r="E181" s="222">
        <f t="shared" si="10"/>
        <v>100</v>
      </c>
    </row>
    <row r="182" spans="1:5" s="60" customFormat="1" ht="32.25" customHeight="1" x14ac:dyDescent="0.35">
      <c r="A182" s="61" t="s">
        <v>350</v>
      </c>
      <c r="B182" s="62" t="s">
        <v>351</v>
      </c>
      <c r="C182" s="81">
        <v>1364.7</v>
      </c>
      <c r="D182" s="310">
        <v>1364.68</v>
      </c>
      <c r="E182" s="221">
        <f t="shared" si="10"/>
        <v>99.998534476441719</v>
      </c>
    </row>
    <row r="183" spans="1:5" ht="21" customHeight="1" x14ac:dyDescent="0.35">
      <c r="A183" s="61" t="s">
        <v>7</v>
      </c>
      <c r="B183" s="62" t="s">
        <v>116</v>
      </c>
      <c r="C183" s="81">
        <f>SUM(C184:C201)</f>
        <v>825797</v>
      </c>
      <c r="D183" s="320">
        <f>SUM(D184:D201)</f>
        <v>502189.04800000007</v>
      </c>
      <c r="E183" s="221">
        <f t="shared" si="10"/>
        <v>60.812651051045243</v>
      </c>
    </row>
    <row r="184" spans="1:5" ht="29.25" customHeight="1" x14ac:dyDescent="0.35">
      <c r="A184" s="108" t="s">
        <v>215</v>
      </c>
      <c r="B184" s="62" t="s">
        <v>214</v>
      </c>
      <c r="C184" s="89">
        <v>2930.8</v>
      </c>
      <c r="D184" s="313">
        <v>2877.3</v>
      </c>
      <c r="E184" s="222">
        <f t="shared" si="10"/>
        <v>98.174559847140713</v>
      </c>
    </row>
    <row r="185" spans="1:5" s="59" customFormat="1" ht="28.5" customHeight="1" x14ac:dyDescent="0.3">
      <c r="A185" s="108" t="s">
        <v>216</v>
      </c>
      <c r="B185" s="65" t="s">
        <v>127</v>
      </c>
      <c r="C185" s="89">
        <v>110.5</v>
      </c>
      <c r="D185" s="313">
        <v>110.5</v>
      </c>
      <c r="E185" s="222">
        <f t="shared" si="10"/>
        <v>100</v>
      </c>
    </row>
    <row r="186" spans="1:5" s="59" customFormat="1" ht="26.25" customHeight="1" x14ac:dyDescent="0.3">
      <c r="A186" s="108" t="s">
        <v>211</v>
      </c>
      <c r="B186" s="65" t="s">
        <v>429</v>
      </c>
      <c r="C186" s="89">
        <v>7720</v>
      </c>
      <c r="D186" s="313">
        <v>7720</v>
      </c>
      <c r="E186" s="222">
        <f t="shared" si="10"/>
        <v>100</v>
      </c>
    </row>
    <row r="187" spans="1:5" s="59" customFormat="1" ht="44.25" customHeight="1" x14ac:dyDescent="0.3">
      <c r="A187" s="108" t="s">
        <v>217</v>
      </c>
      <c r="B187" s="65" t="s">
        <v>430</v>
      </c>
      <c r="C187" s="89">
        <v>75492</v>
      </c>
      <c r="D187" s="313">
        <v>75492</v>
      </c>
      <c r="E187" s="222">
        <f t="shared" si="10"/>
        <v>100</v>
      </c>
    </row>
    <row r="188" spans="1:5" s="59" customFormat="1" ht="29.25" customHeight="1" x14ac:dyDescent="0.3">
      <c r="A188" s="121" t="s">
        <v>219</v>
      </c>
      <c r="B188" s="122" t="s">
        <v>431</v>
      </c>
      <c r="C188" s="90">
        <v>23009.7</v>
      </c>
      <c r="D188" s="317">
        <v>23009.7</v>
      </c>
      <c r="E188" s="213">
        <f t="shared" si="10"/>
        <v>100</v>
      </c>
    </row>
    <row r="189" spans="1:5" s="59" customFormat="1" ht="27.75" customHeight="1" x14ac:dyDescent="0.3">
      <c r="A189" s="121" t="s">
        <v>290</v>
      </c>
      <c r="B189" s="122" t="s">
        <v>432</v>
      </c>
      <c r="C189" s="88">
        <v>16998</v>
      </c>
      <c r="D189" s="311">
        <v>16998</v>
      </c>
      <c r="E189" s="213">
        <f t="shared" si="10"/>
        <v>100</v>
      </c>
    </row>
    <row r="190" spans="1:5" s="59" customFormat="1" ht="18.75" customHeight="1" x14ac:dyDescent="0.3">
      <c r="A190" s="121" t="s">
        <v>354</v>
      </c>
      <c r="B190" s="122" t="s">
        <v>458</v>
      </c>
      <c r="C190" s="88">
        <v>85718.399999999994</v>
      </c>
      <c r="D190" s="330">
        <v>85718.399999999994</v>
      </c>
      <c r="E190" s="213">
        <f t="shared" si="10"/>
        <v>100</v>
      </c>
    </row>
    <row r="191" spans="1:5" s="59" customFormat="1" ht="28.5" customHeight="1" x14ac:dyDescent="0.3">
      <c r="A191" s="121" t="s">
        <v>289</v>
      </c>
      <c r="B191" s="122" t="s">
        <v>433</v>
      </c>
      <c r="C191" s="88">
        <v>318711.2</v>
      </c>
      <c r="D191" s="311">
        <v>182655.96799999999</v>
      </c>
      <c r="E191" s="213">
        <f t="shared" si="10"/>
        <v>57.310809284392882</v>
      </c>
    </row>
    <row r="192" spans="1:5" s="59" customFormat="1" ht="30.75" customHeight="1" x14ac:dyDescent="0.3">
      <c r="A192" s="169" t="s">
        <v>321</v>
      </c>
      <c r="B192" s="170" t="s">
        <v>291</v>
      </c>
      <c r="C192" s="88">
        <v>19277.5</v>
      </c>
      <c r="D192" s="311">
        <v>19277.5</v>
      </c>
      <c r="E192" s="213">
        <f t="shared" si="10"/>
        <v>100</v>
      </c>
    </row>
    <row r="193" spans="1:5" s="59" customFormat="1" ht="27.75" customHeight="1" x14ac:dyDescent="0.3">
      <c r="A193" s="194" t="s">
        <v>353</v>
      </c>
      <c r="B193" s="170" t="s">
        <v>434</v>
      </c>
      <c r="C193" s="89">
        <v>10462</v>
      </c>
      <c r="D193" s="313">
        <v>10462</v>
      </c>
      <c r="E193" s="213">
        <f t="shared" si="10"/>
        <v>100</v>
      </c>
    </row>
    <row r="194" spans="1:5" s="59" customFormat="1" ht="43.5" customHeight="1" x14ac:dyDescent="0.3">
      <c r="A194" s="194" t="s">
        <v>342</v>
      </c>
      <c r="B194" s="170" t="s">
        <v>341</v>
      </c>
      <c r="C194" s="88">
        <v>114088.5</v>
      </c>
      <c r="D194" s="311">
        <v>0</v>
      </c>
      <c r="E194" s="213">
        <f t="shared" si="10"/>
        <v>0</v>
      </c>
    </row>
    <row r="195" spans="1:5" s="59" customFormat="1" ht="27" customHeight="1" x14ac:dyDescent="0.3">
      <c r="A195" s="194" t="s">
        <v>489</v>
      </c>
      <c r="B195" s="170" t="s">
        <v>490</v>
      </c>
      <c r="C195" s="88">
        <v>2774</v>
      </c>
      <c r="D195" s="311">
        <v>2774</v>
      </c>
      <c r="E195" s="213">
        <f t="shared" si="10"/>
        <v>100</v>
      </c>
    </row>
    <row r="196" spans="1:5" s="59" customFormat="1" ht="29.25" customHeight="1" x14ac:dyDescent="0.3">
      <c r="A196" s="194" t="s">
        <v>352</v>
      </c>
      <c r="B196" s="170" t="s">
        <v>435</v>
      </c>
      <c r="C196" s="88">
        <v>63028.9</v>
      </c>
      <c r="D196" s="311">
        <v>63028.9</v>
      </c>
      <c r="E196" s="213">
        <f t="shared" ref="E196:E227" si="12">D196/C196*100</f>
        <v>100</v>
      </c>
    </row>
    <row r="197" spans="1:5" s="59" customFormat="1" ht="18" customHeight="1" x14ac:dyDescent="0.3">
      <c r="A197" s="194" t="s">
        <v>491</v>
      </c>
      <c r="B197" s="170" t="s">
        <v>492</v>
      </c>
      <c r="C197" s="88">
        <v>10050.799999999999</v>
      </c>
      <c r="D197" s="311">
        <v>10050.780000000001</v>
      </c>
      <c r="E197" s="213">
        <f t="shared" si="12"/>
        <v>99.999801010864815</v>
      </c>
    </row>
    <row r="198" spans="1:5" s="59" customFormat="1" ht="27" customHeight="1" x14ac:dyDescent="0.3">
      <c r="A198" s="194" t="s">
        <v>495</v>
      </c>
      <c r="B198" s="170" t="s">
        <v>497</v>
      </c>
      <c r="C198" s="88">
        <v>4604.7</v>
      </c>
      <c r="D198" s="311">
        <v>0</v>
      </c>
      <c r="E198" s="213">
        <f t="shared" si="12"/>
        <v>0</v>
      </c>
    </row>
    <row r="199" spans="1:5" s="59" customFormat="1" ht="43.5" customHeight="1" x14ac:dyDescent="0.3">
      <c r="A199" s="194" t="s">
        <v>494</v>
      </c>
      <c r="B199" s="170" t="s">
        <v>493</v>
      </c>
      <c r="C199" s="88">
        <v>65038.5</v>
      </c>
      <c r="D199" s="311">
        <v>0</v>
      </c>
      <c r="E199" s="213">
        <f t="shared" si="12"/>
        <v>0</v>
      </c>
    </row>
    <row r="200" spans="1:5" s="59" customFormat="1" ht="30" customHeight="1" x14ac:dyDescent="0.3">
      <c r="A200" s="194" t="s">
        <v>340</v>
      </c>
      <c r="B200" s="170" t="s">
        <v>436</v>
      </c>
      <c r="C200" s="88">
        <v>2014</v>
      </c>
      <c r="D200" s="311">
        <v>2014</v>
      </c>
      <c r="E200" s="213">
        <f t="shared" si="12"/>
        <v>100</v>
      </c>
    </row>
    <row r="201" spans="1:5" s="59" customFormat="1" ht="27.75" customHeight="1" thickBot="1" x14ac:dyDescent="0.35">
      <c r="A201" s="340" t="s">
        <v>496</v>
      </c>
      <c r="B201" s="170" t="s">
        <v>498</v>
      </c>
      <c r="C201" s="341">
        <v>3767.5</v>
      </c>
      <c r="D201" s="223">
        <v>0</v>
      </c>
      <c r="E201" s="342">
        <f t="shared" si="12"/>
        <v>0</v>
      </c>
    </row>
    <row r="202" spans="1:5" ht="36" customHeight="1" thickBot="1" x14ac:dyDescent="0.35">
      <c r="A202" s="29" t="s">
        <v>8</v>
      </c>
      <c r="B202" s="7" t="s">
        <v>57</v>
      </c>
      <c r="C202" s="74">
        <f>SUM(,C203,C206:C208,C211:C211,C229:C230,C232,C235,C238,C239)</f>
        <v>4219846.8</v>
      </c>
      <c r="D202" s="201">
        <f>SUM(,D203,D206:D208,D211:D211,D229:D230,D232,D235,D238,D239)</f>
        <v>3522551.4180000005</v>
      </c>
      <c r="E202" s="294">
        <f t="shared" si="12"/>
        <v>83.475812866002641</v>
      </c>
    </row>
    <row r="203" spans="1:5" ht="30.75" customHeight="1" x14ac:dyDescent="0.35">
      <c r="A203" s="61" t="s">
        <v>443</v>
      </c>
      <c r="B203" s="98" t="s">
        <v>117</v>
      </c>
      <c r="C203" s="82">
        <f>SUM(C204:C205)</f>
        <v>24873.8</v>
      </c>
      <c r="D203" s="319">
        <f>SUM(D204:D205)</f>
        <v>24185</v>
      </c>
      <c r="E203" s="221">
        <f t="shared" si="12"/>
        <v>97.230821185343615</v>
      </c>
    </row>
    <row r="204" spans="1:5" s="59" customFormat="1" ht="18.75" customHeight="1" x14ac:dyDescent="0.3">
      <c r="A204" s="108" t="s">
        <v>247</v>
      </c>
      <c r="B204" s="49" t="s">
        <v>246</v>
      </c>
      <c r="C204" s="88">
        <v>20685</v>
      </c>
      <c r="D204" s="311">
        <v>20685</v>
      </c>
      <c r="E204" s="222">
        <f t="shared" si="12"/>
        <v>100</v>
      </c>
    </row>
    <row r="205" spans="1:5" s="59" customFormat="1" ht="18" customHeight="1" x14ac:dyDescent="0.3">
      <c r="A205" s="108" t="s">
        <v>248</v>
      </c>
      <c r="B205" s="49" t="s">
        <v>249</v>
      </c>
      <c r="C205" s="88">
        <v>4188.8</v>
      </c>
      <c r="D205" s="311">
        <v>3500</v>
      </c>
      <c r="E205" s="222">
        <f t="shared" si="12"/>
        <v>83.556149732620327</v>
      </c>
    </row>
    <row r="206" spans="1:5" ht="33" customHeight="1" x14ac:dyDescent="0.35">
      <c r="A206" s="61" t="s">
        <v>444</v>
      </c>
      <c r="B206" s="50" t="s">
        <v>438</v>
      </c>
      <c r="C206" s="82">
        <v>619.6</v>
      </c>
      <c r="D206" s="312">
        <v>607.66200000000003</v>
      </c>
      <c r="E206" s="221">
        <f t="shared" si="12"/>
        <v>98.073273079406079</v>
      </c>
    </row>
    <row r="207" spans="1:5" ht="36.75" customHeight="1" x14ac:dyDescent="0.35">
      <c r="A207" s="61" t="s">
        <v>445</v>
      </c>
      <c r="B207" s="111" t="s">
        <v>377</v>
      </c>
      <c r="C207" s="82">
        <v>7298.9</v>
      </c>
      <c r="D207" s="312">
        <v>2321.1669999999999</v>
      </c>
      <c r="E207" s="221">
        <f t="shared" si="12"/>
        <v>31.801600241132228</v>
      </c>
    </row>
    <row r="208" spans="1:5" ht="33" customHeight="1" x14ac:dyDescent="0.35">
      <c r="A208" s="61" t="s">
        <v>446</v>
      </c>
      <c r="B208" s="98" t="s">
        <v>110</v>
      </c>
      <c r="C208" s="81">
        <f>SUM(C209:C210)</f>
        <v>37351.699999999997</v>
      </c>
      <c r="D208" s="310">
        <f>SUM(D209:D210)</f>
        <v>36439.699999999997</v>
      </c>
      <c r="E208" s="221">
        <f t="shared" si="12"/>
        <v>97.558344064661057</v>
      </c>
    </row>
    <row r="209" spans="1:5" ht="20.25" customHeight="1" x14ac:dyDescent="0.3">
      <c r="A209" s="108" t="s">
        <v>250</v>
      </c>
      <c r="B209" s="49" t="s">
        <v>239</v>
      </c>
      <c r="C209" s="88">
        <v>5294</v>
      </c>
      <c r="D209" s="311">
        <v>4382</v>
      </c>
      <c r="E209" s="222">
        <f t="shared" si="12"/>
        <v>82.772950510011327</v>
      </c>
    </row>
    <row r="210" spans="1:5" ht="20.25" customHeight="1" x14ac:dyDescent="0.3">
      <c r="A210" s="108" t="s">
        <v>292</v>
      </c>
      <c r="B210" s="49" t="s">
        <v>293</v>
      </c>
      <c r="C210" s="88">
        <v>32057.7</v>
      </c>
      <c r="D210" s="311">
        <v>32057.7</v>
      </c>
      <c r="E210" s="222">
        <f t="shared" si="12"/>
        <v>100</v>
      </c>
    </row>
    <row r="211" spans="1:5" s="45" customFormat="1" ht="32.25" customHeight="1" x14ac:dyDescent="0.35">
      <c r="A211" s="61" t="s">
        <v>447</v>
      </c>
      <c r="B211" s="68" t="s">
        <v>437</v>
      </c>
      <c r="C211" s="81">
        <f>SUM(C212:C228)</f>
        <v>3955142.1</v>
      </c>
      <c r="D211" s="310">
        <f>SUM(D212:D228)</f>
        <v>3282134.6890000002</v>
      </c>
      <c r="E211" s="221">
        <f t="shared" si="12"/>
        <v>82.983989096118705</v>
      </c>
    </row>
    <row r="212" spans="1:5" ht="21.75" customHeight="1" x14ac:dyDescent="0.3">
      <c r="A212" s="110" t="s">
        <v>222</v>
      </c>
      <c r="B212" s="51" t="s">
        <v>221</v>
      </c>
      <c r="C212" s="89">
        <v>40088.400000000001</v>
      </c>
      <c r="D212" s="313">
        <v>40088.400000000001</v>
      </c>
      <c r="E212" s="222">
        <f t="shared" si="12"/>
        <v>100</v>
      </c>
    </row>
    <row r="213" spans="1:5" ht="29.25" customHeight="1" x14ac:dyDescent="0.3">
      <c r="A213" s="108" t="s">
        <v>220</v>
      </c>
      <c r="B213" s="49" t="s">
        <v>459</v>
      </c>
      <c r="C213" s="89">
        <v>232335</v>
      </c>
      <c r="D213" s="329">
        <v>218818</v>
      </c>
      <c r="E213" s="222">
        <f t="shared" si="12"/>
        <v>94.182107732369218</v>
      </c>
    </row>
    <row r="214" spans="1:5" ht="28.5" customHeight="1" x14ac:dyDescent="0.3">
      <c r="A214" s="110" t="s">
        <v>223</v>
      </c>
      <c r="B214" s="51" t="s">
        <v>451</v>
      </c>
      <c r="C214" s="89">
        <v>3696</v>
      </c>
      <c r="D214" s="313">
        <v>3080</v>
      </c>
      <c r="E214" s="222">
        <f t="shared" si="12"/>
        <v>83.333333333333343</v>
      </c>
    </row>
    <row r="215" spans="1:5" ht="43.5" customHeight="1" x14ac:dyDescent="0.3">
      <c r="A215" s="110" t="s">
        <v>224</v>
      </c>
      <c r="B215" s="51" t="s">
        <v>450</v>
      </c>
      <c r="C215" s="89">
        <v>343.9</v>
      </c>
      <c r="D215" s="329">
        <v>343.9</v>
      </c>
      <c r="E215" s="222">
        <f t="shared" si="12"/>
        <v>100</v>
      </c>
    </row>
    <row r="216" spans="1:5" ht="42.75" customHeight="1" x14ac:dyDescent="0.3">
      <c r="A216" s="108" t="s">
        <v>226</v>
      </c>
      <c r="B216" s="99" t="s">
        <v>225</v>
      </c>
      <c r="C216" s="89">
        <v>302660.2</v>
      </c>
      <c r="D216" s="329">
        <v>289597</v>
      </c>
      <c r="E216" s="222">
        <f t="shared" si="12"/>
        <v>95.683872540889084</v>
      </c>
    </row>
    <row r="217" spans="1:5" ht="21" customHeight="1" x14ac:dyDescent="0.3">
      <c r="A217" s="108" t="s">
        <v>227</v>
      </c>
      <c r="B217" s="49" t="s">
        <v>460</v>
      </c>
      <c r="C217" s="89">
        <v>2304664</v>
      </c>
      <c r="D217" s="329">
        <v>1882085</v>
      </c>
      <c r="E217" s="222">
        <f t="shared" si="12"/>
        <v>81.664181850369516</v>
      </c>
    </row>
    <row r="218" spans="1:5" ht="21" customHeight="1" x14ac:dyDescent="0.3">
      <c r="A218" s="108" t="s">
        <v>228</v>
      </c>
      <c r="B218" s="49" t="s">
        <v>461</v>
      </c>
      <c r="C218" s="89">
        <v>40975</v>
      </c>
      <c r="D218" s="329">
        <v>31500</v>
      </c>
      <c r="E218" s="222">
        <f t="shared" si="12"/>
        <v>76.876143990237949</v>
      </c>
    </row>
    <row r="219" spans="1:5" ht="29.25" customHeight="1" x14ac:dyDescent="0.3">
      <c r="A219" s="108" t="s">
        <v>229</v>
      </c>
      <c r="B219" s="49" t="s">
        <v>464</v>
      </c>
      <c r="C219" s="89">
        <v>93568.9</v>
      </c>
      <c r="D219" s="329">
        <v>64000</v>
      </c>
      <c r="E219" s="222">
        <f t="shared" si="12"/>
        <v>68.39879489873239</v>
      </c>
    </row>
    <row r="220" spans="1:5" ht="27.75" customHeight="1" x14ac:dyDescent="0.3">
      <c r="A220" s="108" t="s">
        <v>230</v>
      </c>
      <c r="B220" s="49" t="s">
        <v>463</v>
      </c>
      <c r="C220" s="89">
        <v>19127.7</v>
      </c>
      <c r="D220" s="329">
        <v>15694</v>
      </c>
      <c r="E220" s="222">
        <f t="shared" si="12"/>
        <v>82.048547394616179</v>
      </c>
    </row>
    <row r="221" spans="1:5" ht="18" customHeight="1" x14ac:dyDescent="0.3">
      <c r="A221" s="108" t="s">
        <v>231</v>
      </c>
      <c r="B221" s="49" t="s">
        <v>462</v>
      </c>
      <c r="C221" s="89">
        <v>7549</v>
      </c>
      <c r="D221" s="313">
        <v>6604.8670000000002</v>
      </c>
      <c r="E221" s="222">
        <f t="shared" si="12"/>
        <v>87.493270631871781</v>
      </c>
    </row>
    <row r="222" spans="1:5" ht="30" customHeight="1" x14ac:dyDescent="0.3">
      <c r="A222" s="108" t="s">
        <v>232</v>
      </c>
      <c r="B222" s="49" t="s">
        <v>465</v>
      </c>
      <c r="C222" s="89">
        <v>9129</v>
      </c>
      <c r="D222" s="329">
        <v>7435</v>
      </c>
      <c r="E222" s="222">
        <f t="shared" si="12"/>
        <v>81.443750684631397</v>
      </c>
    </row>
    <row r="223" spans="1:5" ht="27" customHeight="1" x14ac:dyDescent="0.3">
      <c r="A223" s="108" t="s">
        <v>233</v>
      </c>
      <c r="B223" s="49" t="s">
        <v>452</v>
      </c>
      <c r="C223" s="89">
        <v>7403.1</v>
      </c>
      <c r="D223" s="329">
        <v>4375.1319999999996</v>
      </c>
      <c r="E223" s="222">
        <f t="shared" si="12"/>
        <v>59.098647863732758</v>
      </c>
    </row>
    <row r="224" spans="1:5" ht="18.75" customHeight="1" x14ac:dyDescent="0.3">
      <c r="A224" s="110" t="s">
        <v>234</v>
      </c>
      <c r="B224" s="49" t="s">
        <v>466</v>
      </c>
      <c r="C224" s="89">
        <v>57215.199999999997</v>
      </c>
      <c r="D224" s="329">
        <v>57215.199999999997</v>
      </c>
      <c r="E224" s="222">
        <f t="shared" si="12"/>
        <v>100</v>
      </c>
    </row>
    <row r="225" spans="1:5" ht="45" customHeight="1" x14ac:dyDescent="0.3">
      <c r="A225" s="110" t="s">
        <v>238</v>
      </c>
      <c r="B225" s="49" t="s">
        <v>442</v>
      </c>
      <c r="C225" s="89">
        <v>777560.5</v>
      </c>
      <c r="D225" s="329">
        <v>610000</v>
      </c>
      <c r="E225" s="222">
        <f t="shared" si="12"/>
        <v>78.450487132512521</v>
      </c>
    </row>
    <row r="226" spans="1:5" ht="30" customHeight="1" x14ac:dyDescent="0.3">
      <c r="A226" s="110" t="s">
        <v>237</v>
      </c>
      <c r="B226" s="51" t="s">
        <v>441</v>
      </c>
      <c r="C226" s="89">
        <v>56440.3</v>
      </c>
      <c r="D226" s="329">
        <v>49019.29</v>
      </c>
      <c r="E226" s="222">
        <f t="shared" si="12"/>
        <v>86.851575912955809</v>
      </c>
    </row>
    <row r="227" spans="1:5" ht="17.25" customHeight="1" x14ac:dyDescent="0.3">
      <c r="A227" s="110" t="s">
        <v>235</v>
      </c>
      <c r="B227" s="51" t="s">
        <v>236</v>
      </c>
      <c r="C227" s="89">
        <v>2320</v>
      </c>
      <c r="D227" s="313">
        <v>2213</v>
      </c>
      <c r="E227" s="222">
        <f t="shared" si="12"/>
        <v>95.387931034482747</v>
      </c>
    </row>
    <row r="228" spans="1:5" ht="78" customHeight="1" x14ac:dyDescent="0.3">
      <c r="A228" s="110" t="s">
        <v>475</v>
      </c>
      <c r="B228" s="233" t="s">
        <v>455</v>
      </c>
      <c r="C228" s="89">
        <v>65.900000000000006</v>
      </c>
      <c r="D228" s="313">
        <v>65.900000000000006</v>
      </c>
      <c r="E228" s="222">
        <f t="shared" ref="E228:E236" si="13">D228/C228*100</f>
        <v>100</v>
      </c>
    </row>
    <row r="229" spans="1:5" ht="66.75" customHeight="1" x14ac:dyDescent="0.35">
      <c r="A229" s="61" t="s">
        <v>439</v>
      </c>
      <c r="B229" s="68" t="s">
        <v>106</v>
      </c>
      <c r="C229" s="81">
        <v>65945.399999999994</v>
      </c>
      <c r="D229" s="310">
        <v>65945.399999999994</v>
      </c>
      <c r="E229" s="221">
        <f t="shared" si="13"/>
        <v>100</v>
      </c>
    </row>
    <row r="230" spans="1:5" ht="50.25" customHeight="1" x14ac:dyDescent="0.35">
      <c r="A230" s="61" t="s">
        <v>440</v>
      </c>
      <c r="B230" s="100" t="s">
        <v>102</v>
      </c>
      <c r="C230" s="81">
        <f>SUM(C231:C231)</f>
        <v>78323</v>
      </c>
      <c r="D230" s="310">
        <f>SUM(D231:D231)</f>
        <v>63955</v>
      </c>
      <c r="E230" s="221">
        <f t="shared" si="13"/>
        <v>81.655452421383245</v>
      </c>
    </row>
    <row r="231" spans="1:5" ht="21.75" customHeight="1" x14ac:dyDescent="0.35">
      <c r="A231" s="110" t="s">
        <v>240</v>
      </c>
      <c r="B231" s="49" t="s">
        <v>239</v>
      </c>
      <c r="C231" s="88">
        <v>78323</v>
      </c>
      <c r="D231" s="311">
        <v>63955</v>
      </c>
      <c r="E231" s="221">
        <f t="shared" si="13"/>
        <v>81.655452421383245</v>
      </c>
    </row>
    <row r="232" spans="1:5" s="60" customFormat="1" ht="52.5" customHeight="1" x14ac:dyDescent="0.35">
      <c r="A232" s="75" t="s">
        <v>9</v>
      </c>
      <c r="B232" s="100" t="s">
        <v>392</v>
      </c>
      <c r="C232" s="82">
        <f>C233+C234</f>
        <v>21212.799999999999</v>
      </c>
      <c r="D232" s="312">
        <f>D233+D234</f>
        <v>19063.599999999999</v>
      </c>
      <c r="E232" s="225">
        <f t="shared" si="13"/>
        <v>89.868381354653792</v>
      </c>
    </row>
    <row r="233" spans="1:5" s="60" customFormat="1" ht="15.6" x14ac:dyDescent="0.3">
      <c r="A233" s="112" t="s">
        <v>241</v>
      </c>
      <c r="B233" s="49" t="s">
        <v>104</v>
      </c>
      <c r="C233" s="88">
        <v>19026</v>
      </c>
      <c r="D233" s="311">
        <v>16876.8</v>
      </c>
      <c r="E233" s="213">
        <f t="shared" si="13"/>
        <v>88.703878902554408</v>
      </c>
    </row>
    <row r="234" spans="1:5" s="60" customFormat="1" ht="15.6" x14ac:dyDescent="0.3">
      <c r="A234" s="112" t="s">
        <v>242</v>
      </c>
      <c r="B234" s="49" t="s">
        <v>103</v>
      </c>
      <c r="C234" s="88">
        <v>2186.8000000000002</v>
      </c>
      <c r="D234" s="330">
        <v>2186.8000000000002</v>
      </c>
      <c r="E234" s="213">
        <f t="shared" si="13"/>
        <v>100</v>
      </c>
    </row>
    <row r="235" spans="1:5" s="60" customFormat="1" ht="67.5" customHeight="1" x14ac:dyDescent="0.35">
      <c r="A235" s="75" t="s">
        <v>10</v>
      </c>
      <c r="B235" s="255" t="s">
        <v>488</v>
      </c>
      <c r="C235" s="82">
        <f>C236+C237</f>
        <v>4714.7</v>
      </c>
      <c r="D235" s="312">
        <f>D236+D237</f>
        <v>3534.3999999999996</v>
      </c>
      <c r="E235" s="225">
        <f t="shared" si="13"/>
        <v>74.965533331919303</v>
      </c>
    </row>
    <row r="236" spans="1:5" s="60" customFormat="1" ht="15.6" x14ac:dyDescent="0.3">
      <c r="A236" s="112" t="s">
        <v>243</v>
      </c>
      <c r="B236" s="49" t="s">
        <v>104</v>
      </c>
      <c r="C236" s="88">
        <v>4714.7</v>
      </c>
      <c r="D236" s="331">
        <v>2707.2</v>
      </c>
      <c r="E236" s="213">
        <f t="shared" si="13"/>
        <v>57.420408509555223</v>
      </c>
    </row>
    <row r="237" spans="1:5" s="60" customFormat="1" ht="15.6" x14ac:dyDescent="0.3">
      <c r="A237" s="112" t="s">
        <v>244</v>
      </c>
      <c r="B237" s="49" t="s">
        <v>103</v>
      </c>
      <c r="C237" s="88">
        <v>0</v>
      </c>
      <c r="D237" s="331">
        <v>827.2</v>
      </c>
      <c r="E237" s="257">
        <v>0</v>
      </c>
    </row>
    <row r="238" spans="1:5" s="60" customFormat="1" ht="70.5" customHeight="1" x14ac:dyDescent="0.35">
      <c r="A238" s="75" t="s">
        <v>11</v>
      </c>
      <c r="B238" s="256" t="s">
        <v>393</v>
      </c>
      <c r="C238" s="82">
        <v>21657.599999999999</v>
      </c>
      <c r="D238" s="312">
        <v>21657.599999999999</v>
      </c>
      <c r="E238" s="225">
        <f t="shared" ref="E238:E250" si="14">D238/C238*100</f>
        <v>100</v>
      </c>
    </row>
    <row r="239" spans="1:5" s="60" customFormat="1" ht="31.5" customHeight="1" thickBot="1" x14ac:dyDescent="0.4">
      <c r="A239" s="75" t="s">
        <v>245</v>
      </c>
      <c r="B239" s="113" t="s">
        <v>394</v>
      </c>
      <c r="C239" s="109">
        <v>2707.2</v>
      </c>
      <c r="D239" s="321">
        <v>2707.2</v>
      </c>
      <c r="E239" s="229">
        <f t="shared" si="14"/>
        <v>100</v>
      </c>
    </row>
    <row r="240" spans="1:5" ht="24" customHeight="1" thickBot="1" x14ac:dyDescent="0.35">
      <c r="A240" s="29" t="s">
        <v>12</v>
      </c>
      <c r="B240" s="7" t="s">
        <v>58</v>
      </c>
      <c r="C240" s="74">
        <f>SUM(C241:C243)</f>
        <v>78231.483999999997</v>
      </c>
      <c r="D240" s="201">
        <f>SUM(D241:D243)</f>
        <v>77585.191000000006</v>
      </c>
      <c r="E240" s="294">
        <f t="shared" si="14"/>
        <v>99.173870969902609</v>
      </c>
    </row>
    <row r="241" spans="1:5" ht="34.5" customHeight="1" x14ac:dyDescent="0.35">
      <c r="A241" s="101" t="s">
        <v>300</v>
      </c>
      <c r="B241" s="235" t="s">
        <v>448</v>
      </c>
      <c r="C241" s="171">
        <v>12000</v>
      </c>
      <c r="D241" s="332">
        <v>12000</v>
      </c>
      <c r="E241" s="224">
        <f t="shared" si="14"/>
        <v>100</v>
      </c>
    </row>
    <row r="242" spans="1:5" ht="33" customHeight="1" x14ac:dyDescent="0.35">
      <c r="A242" s="101" t="s">
        <v>126</v>
      </c>
      <c r="B242" s="102" t="s">
        <v>395</v>
      </c>
      <c r="C242" s="82">
        <v>656.3</v>
      </c>
      <c r="D242" s="312">
        <v>656.3</v>
      </c>
      <c r="E242" s="234">
        <f t="shared" si="14"/>
        <v>100</v>
      </c>
    </row>
    <row r="243" spans="1:5" ht="25.5" customHeight="1" x14ac:dyDescent="0.35">
      <c r="A243" s="103" t="s">
        <v>4</v>
      </c>
      <c r="B243" s="104" t="s">
        <v>113</v>
      </c>
      <c r="C243" s="186">
        <f>SUM(C244:C251)</f>
        <v>65575.183999999994</v>
      </c>
      <c r="D243" s="310">
        <f t="shared" ref="D243" si="15">SUM(D244:D251)</f>
        <v>64928.891000000003</v>
      </c>
      <c r="E243" s="234">
        <f t="shared" si="14"/>
        <v>99.014424420067215</v>
      </c>
    </row>
    <row r="244" spans="1:5" ht="19.5" customHeight="1" x14ac:dyDescent="0.25">
      <c r="A244" s="273" t="s">
        <v>252</v>
      </c>
      <c r="B244" s="57" t="s">
        <v>128</v>
      </c>
      <c r="C244" s="93">
        <v>18358.366999999998</v>
      </c>
      <c r="D244" s="333">
        <v>21222.601999999999</v>
      </c>
      <c r="E244" s="277">
        <f t="shared" si="14"/>
        <v>115.60179617282952</v>
      </c>
    </row>
    <row r="245" spans="1:5" ht="22.5" customHeight="1" x14ac:dyDescent="0.25">
      <c r="A245" s="274" t="s">
        <v>254</v>
      </c>
      <c r="B245" s="57" t="s">
        <v>129</v>
      </c>
      <c r="C245" s="93">
        <v>3487</v>
      </c>
      <c r="D245" s="334">
        <v>3487</v>
      </c>
      <c r="E245" s="277">
        <f t="shared" si="14"/>
        <v>100</v>
      </c>
    </row>
    <row r="246" spans="1:5" ht="19.5" customHeight="1" x14ac:dyDescent="0.25">
      <c r="A246" s="274" t="s">
        <v>343</v>
      </c>
      <c r="B246" s="57" t="s">
        <v>347</v>
      </c>
      <c r="C246" s="93">
        <v>555</v>
      </c>
      <c r="D246" s="334">
        <v>555</v>
      </c>
      <c r="E246" s="277">
        <f t="shared" si="14"/>
        <v>100</v>
      </c>
    </row>
    <row r="247" spans="1:5" ht="16.5" customHeight="1" x14ac:dyDescent="0.25">
      <c r="A247" s="273" t="s">
        <v>251</v>
      </c>
      <c r="B247" s="57" t="s">
        <v>253</v>
      </c>
      <c r="C247" s="93">
        <v>898.01199999999994</v>
      </c>
      <c r="D247" s="333">
        <v>692.75099999999998</v>
      </c>
      <c r="E247" s="277">
        <f t="shared" si="14"/>
        <v>77.142733059246424</v>
      </c>
    </row>
    <row r="248" spans="1:5" ht="29.25" customHeight="1" x14ac:dyDescent="0.25">
      <c r="A248" s="275" t="s">
        <v>255</v>
      </c>
      <c r="B248" s="58" t="s">
        <v>512</v>
      </c>
      <c r="C248" s="93">
        <v>2064.6</v>
      </c>
      <c r="D248" s="334">
        <v>1664.6</v>
      </c>
      <c r="E248" s="277">
        <f t="shared" si="14"/>
        <v>80.625787077399977</v>
      </c>
    </row>
    <row r="249" spans="1:5" ht="18" customHeight="1" x14ac:dyDescent="0.25">
      <c r="A249" s="275" t="s">
        <v>288</v>
      </c>
      <c r="B249" s="119" t="s">
        <v>396</v>
      </c>
      <c r="C249" s="120">
        <v>32164</v>
      </c>
      <c r="D249" s="335">
        <v>32163.733</v>
      </c>
      <c r="E249" s="278">
        <f t="shared" si="14"/>
        <v>99.999169879368239</v>
      </c>
    </row>
    <row r="250" spans="1:5" ht="18" customHeight="1" x14ac:dyDescent="0.25">
      <c r="A250" s="275" t="s">
        <v>334</v>
      </c>
      <c r="B250" s="288" t="s">
        <v>335</v>
      </c>
      <c r="C250" s="187">
        <v>5143.2049999999999</v>
      </c>
      <c r="D250" s="336">
        <v>5143.2049999999999</v>
      </c>
      <c r="E250" s="279">
        <f t="shared" si="14"/>
        <v>100</v>
      </c>
    </row>
    <row r="251" spans="1:5" ht="27.75" customHeight="1" thickBot="1" x14ac:dyDescent="0.3">
      <c r="A251" s="275" t="s">
        <v>480</v>
      </c>
      <c r="B251" s="288" t="s">
        <v>481</v>
      </c>
      <c r="C251" s="187">
        <v>2905</v>
      </c>
      <c r="D251" s="337">
        <v>0</v>
      </c>
      <c r="E251" s="279">
        <v>0</v>
      </c>
    </row>
    <row r="252" spans="1:5" ht="24.75" customHeight="1" thickBot="1" x14ac:dyDescent="0.35">
      <c r="A252" s="29" t="s">
        <v>384</v>
      </c>
      <c r="B252" s="7" t="s">
        <v>68</v>
      </c>
      <c r="C252" s="74">
        <f>C253</f>
        <v>32443.271000000001</v>
      </c>
      <c r="D252" s="201">
        <f>D253</f>
        <v>32443.271000000001</v>
      </c>
      <c r="E252" s="294">
        <f>D252/C252*100</f>
        <v>100</v>
      </c>
    </row>
    <row r="253" spans="1:5" ht="23.25" customHeight="1" thickBot="1" x14ac:dyDescent="0.4">
      <c r="A253" s="28" t="s">
        <v>383</v>
      </c>
      <c r="B253" s="24" t="s">
        <v>69</v>
      </c>
      <c r="C253" s="83">
        <v>32443.271000000001</v>
      </c>
      <c r="D253" s="338">
        <v>32443.271000000001</v>
      </c>
      <c r="E253" s="225">
        <f>D253/C253*100</f>
        <v>100</v>
      </c>
    </row>
    <row r="254" spans="1:5" ht="52.5" customHeight="1" thickBot="1" x14ac:dyDescent="0.35">
      <c r="A254" s="29" t="s">
        <v>385</v>
      </c>
      <c r="B254" s="153" t="s">
        <v>386</v>
      </c>
      <c r="C254" s="74">
        <f>C255</f>
        <v>0</v>
      </c>
      <c r="D254" s="201">
        <f>D255</f>
        <v>581.09</v>
      </c>
      <c r="E254" s="298">
        <v>0</v>
      </c>
    </row>
    <row r="255" spans="1:5" ht="32.25" customHeight="1" thickBot="1" x14ac:dyDescent="0.4">
      <c r="A255" s="28" t="s">
        <v>170</v>
      </c>
      <c r="B255" s="10" t="s">
        <v>397</v>
      </c>
      <c r="C255" s="83">
        <v>0</v>
      </c>
      <c r="D255" s="339">
        <v>581.09</v>
      </c>
      <c r="E255" s="231">
        <v>0</v>
      </c>
    </row>
    <row r="256" spans="1:5" ht="34.5" customHeight="1" thickBot="1" x14ac:dyDescent="0.4">
      <c r="A256" s="29" t="s">
        <v>388</v>
      </c>
      <c r="B256" s="22" t="s">
        <v>3</v>
      </c>
      <c r="C256" s="74">
        <f>C257</f>
        <v>-33101.19</v>
      </c>
      <c r="D256" s="201">
        <f>D257</f>
        <v>-37067.891000000003</v>
      </c>
      <c r="E256" s="300">
        <f>D256/C256*100</f>
        <v>111.98356010765775</v>
      </c>
    </row>
    <row r="257" spans="1:5" ht="32.25" customHeight="1" thickBot="1" x14ac:dyDescent="0.4">
      <c r="A257" s="28" t="s">
        <v>389</v>
      </c>
      <c r="B257" s="10" t="s">
        <v>0</v>
      </c>
      <c r="C257" s="83">
        <v>-33101.19</v>
      </c>
      <c r="D257" s="339">
        <v>-37067.891000000003</v>
      </c>
      <c r="E257" s="231">
        <f>D257/C257*100</f>
        <v>111.98356010765775</v>
      </c>
    </row>
    <row r="258" spans="1:5" ht="23.25" customHeight="1" thickBot="1" x14ac:dyDescent="0.35">
      <c r="A258" s="20"/>
      <c r="B258" s="16" t="s">
        <v>33</v>
      </c>
      <c r="C258" s="74">
        <f>SUM(C7,C165)</f>
        <v>12888878.864</v>
      </c>
      <c r="D258" s="201">
        <f>SUM(D7,D165)</f>
        <v>10454557.210999999</v>
      </c>
      <c r="E258" s="294">
        <f>D258/C258*100</f>
        <v>81.11300696758569</v>
      </c>
    </row>
    <row r="259" spans="1:5" x14ac:dyDescent="0.25">
      <c r="C259" s="85"/>
      <c r="D259" s="203"/>
    </row>
    <row r="260" spans="1:5" x14ac:dyDescent="0.25">
      <c r="C260" s="85"/>
      <c r="D260" s="203"/>
    </row>
    <row r="261" spans="1:5" x14ac:dyDescent="0.25">
      <c r="B261" s="37"/>
      <c r="C261" s="85"/>
      <c r="D261" s="203"/>
    </row>
    <row r="262" spans="1:5" x14ac:dyDescent="0.25">
      <c r="B262" s="37"/>
      <c r="C262" s="85"/>
      <c r="D262" s="203"/>
    </row>
    <row r="263" spans="1:5" x14ac:dyDescent="0.25">
      <c r="B263" s="37"/>
      <c r="C263" s="85"/>
      <c r="D263" s="203"/>
    </row>
    <row r="264" spans="1:5" x14ac:dyDescent="0.25">
      <c r="C264" s="85"/>
      <c r="D264" s="203"/>
    </row>
    <row r="265" spans="1:5" x14ac:dyDescent="0.25">
      <c r="C265" s="85"/>
      <c r="D265" s="203"/>
    </row>
    <row r="266" spans="1:5" x14ac:dyDescent="0.25">
      <c r="C266" s="85"/>
      <c r="D266" s="203"/>
    </row>
    <row r="267" spans="1:5" x14ac:dyDescent="0.25">
      <c r="C267" s="85"/>
      <c r="D267" s="203"/>
    </row>
    <row r="268" spans="1:5" x14ac:dyDescent="0.25">
      <c r="C268" s="85"/>
      <c r="D268" s="203"/>
    </row>
    <row r="269" spans="1:5" x14ac:dyDescent="0.25">
      <c r="C269" s="85"/>
      <c r="D269" s="203"/>
    </row>
    <row r="270" spans="1:5" x14ac:dyDescent="0.25">
      <c r="C270" s="85"/>
      <c r="D270" s="203"/>
    </row>
    <row r="271" spans="1:5" x14ac:dyDescent="0.25">
      <c r="C271" s="85"/>
      <c r="D271" s="203"/>
    </row>
    <row r="272" spans="1:5" x14ac:dyDescent="0.25">
      <c r="C272" s="85"/>
      <c r="D272" s="203"/>
    </row>
    <row r="273" spans="3:4" x14ac:dyDescent="0.25">
      <c r="C273" s="85"/>
      <c r="D273" s="203"/>
    </row>
    <row r="274" spans="3:4" x14ac:dyDescent="0.25">
      <c r="C274" s="85"/>
      <c r="D274" s="203"/>
    </row>
    <row r="275" spans="3:4" x14ac:dyDescent="0.25">
      <c r="C275" s="85"/>
      <c r="D275" s="203"/>
    </row>
    <row r="276" spans="3:4" x14ac:dyDescent="0.25">
      <c r="C276" s="85"/>
      <c r="D276" s="203"/>
    </row>
    <row r="277" spans="3:4" x14ac:dyDescent="0.25">
      <c r="C277" s="85"/>
      <c r="D277" s="203"/>
    </row>
    <row r="278" spans="3:4" x14ac:dyDescent="0.25">
      <c r="C278" s="85"/>
      <c r="D278" s="203"/>
    </row>
    <row r="279" spans="3:4" x14ac:dyDescent="0.25">
      <c r="C279" s="85"/>
      <c r="D279" s="203"/>
    </row>
  </sheetData>
  <customSheetViews>
    <customSheetView guid="{C425BA00-210C-48C2-AB7C-A6B940491DCD}" scale="75" hiddenRows="1" showRuler="0">
      <pane xSplit="7" ySplit="6" topLeftCell="H40" activePane="bottomRight" state="frozen"/>
      <selection pane="bottomRight" activeCell="D10" sqref="D10"/>
      <pageMargins left="0.11811023622047245" right="0.11811023622047245" top="0.74803149606299213" bottom="0.55118110236220474" header="0.31496062992125984" footer="0.31496062992125984"/>
      <pageSetup paperSize="9" scale="50" orientation="landscape" r:id="rId1"/>
      <headerFooter alignWithMargins="0"/>
    </customSheetView>
    <customSheetView guid="{953F6272-BCBA-4E2A-B324-315CAA91D0DC}" scale="60" showPageBreaks="1" fitToPage="1" hiddenRows="1">
      <pane xSplit="6" ySplit="6" topLeftCell="AD61" activePane="bottomRight" state="frozen"/>
      <selection pane="bottomRight" activeCell="AE90" sqref="AE90:AF90"/>
      <pageMargins left="0.11811023622047245" right="0.11811023622047245" top="0.74803149606299213" bottom="0.55118110236220474" header="0.31496062992125984" footer="0.31496062992125984"/>
      <pageSetup paperSize="9" scale="21" fitToHeight="999" orientation="landscape" r:id="rId2"/>
    </customSheetView>
  </customSheetViews>
  <mergeCells count="8">
    <mergeCell ref="A1:E1"/>
    <mergeCell ref="A2:E2"/>
    <mergeCell ref="A3:E3"/>
    <mergeCell ref="A5:A6"/>
    <mergeCell ref="B5:B6"/>
    <mergeCell ref="C5:C6"/>
    <mergeCell ref="E5:E6"/>
    <mergeCell ref="D5:D6"/>
  </mergeCells>
  <phoneticPr fontId="3" type="noConversion"/>
  <pageMargins left="0.23622047244094491" right="0.23622047244094491" top="0.74803149606299213" bottom="0.74803149606299213" header="0.31496062992125984" footer="0.31496062992125984"/>
  <pageSetup paperSize="9" scale="46" fitToHeight="99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tabSelected="1" workbookViewId="0">
      <selection sqref="A1:XFD1048576"/>
    </sheetView>
  </sheetViews>
  <sheetFormatPr defaultColWidth="9.109375" defaultRowHeight="15.6" x14ac:dyDescent="0.3"/>
  <cols>
    <col min="1" max="1" width="84" style="449" customWidth="1"/>
    <col min="2" max="2" width="8.109375" style="449" customWidth="1"/>
    <col min="3" max="3" width="9.5546875" style="449" customWidth="1"/>
    <col min="4" max="4" width="14.5546875" style="449" customWidth="1"/>
    <col min="5" max="5" width="15" style="449" customWidth="1"/>
    <col min="6" max="6" width="12.44140625" style="453" customWidth="1"/>
    <col min="7" max="8" width="13.6640625" style="453" hidden="1" customWidth="1"/>
    <col min="9" max="9" width="12" style="453" hidden="1" customWidth="1"/>
    <col min="10" max="10" width="13.88671875" style="453" customWidth="1"/>
    <col min="11" max="11" width="13.6640625" style="453" customWidth="1"/>
    <col min="12" max="12" width="13.5546875" style="453" customWidth="1"/>
    <col min="13" max="13" width="10.33203125" style="453" customWidth="1"/>
    <col min="14" max="14" width="10.109375" style="453" customWidth="1"/>
    <col min="15" max="15" width="10.5546875" style="453" customWidth="1"/>
    <col min="16" max="16" width="9.88671875" style="453" hidden="1" customWidth="1"/>
    <col min="17" max="17" width="9" style="453" hidden="1" customWidth="1"/>
    <col min="18" max="18" width="10.6640625" style="453" hidden="1" customWidth="1"/>
    <col min="19" max="256" width="9.109375" style="355"/>
    <col min="257" max="257" width="84" style="355" customWidth="1"/>
    <col min="258" max="258" width="8.109375" style="355" customWidth="1"/>
    <col min="259" max="259" width="9.5546875" style="355" customWidth="1"/>
    <col min="260" max="260" width="14.5546875" style="355" customWidth="1"/>
    <col min="261" max="261" width="15" style="355" customWidth="1"/>
    <col min="262" max="262" width="12.44140625" style="355" customWidth="1"/>
    <col min="263" max="265" width="0" style="355" hidden="1" customWidth="1"/>
    <col min="266" max="266" width="13.88671875" style="355" customWidth="1"/>
    <col min="267" max="267" width="13.6640625" style="355" customWidth="1"/>
    <col min="268" max="268" width="13.5546875" style="355" customWidth="1"/>
    <col min="269" max="269" width="10.33203125" style="355" customWidth="1"/>
    <col min="270" max="270" width="10.109375" style="355" customWidth="1"/>
    <col min="271" max="271" width="10.5546875" style="355" customWidth="1"/>
    <col min="272" max="274" width="0" style="355" hidden="1" customWidth="1"/>
    <col min="275" max="512" width="9.109375" style="355"/>
    <col min="513" max="513" width="84" style="355" customWidth="1"/>
    <col min="514" max="514" width="8.109375" style="355" customWidth="1"/>
    <col min="515" max="515" width="9.5546875" style="355" customWidth="1"/>
    <col min="516" max="516" width="14.5546875" style="355" customWidth="1"/>
    <col min="517" max="517" width="15" style="355" customWidth="1"/>
    <col min="518" max="518" width="12.44140625" style="355" customWidth="1"/>
    <col min="519" max="521" width="0" style="355" hidden="1" customWidth="1"/>
    <col min="522" max="522" width="13.88671875" style="355" customWidth="1"/>
    <col min="523" max="523" width="13.6640625" style="355" customWidth="1"/>
    <col min="524" max="524" width="13.5546875" style="355" customWidth="1"/>
    <col min="525" max="525" width="10.33203125" style="355" customWidth="1"/>
    <col min="526" max="526" width="10.109375" style="355" customWidth="1"/>
    <col min="527" max="527" width="10.5546875" style="355" customWidth="1"/>
    <col min="528" max="530" width="0" style="355" hidden="1" customWidth="1"/>
    <col min="531" max="768" width="9.109375" style="355"/>
    <col min="769" max="769" width="84" style="355" customWidth="1"/>
    <col min="770" max="770" width="8.109375" style="355" customWidth="1"/>
    <col min="771" max="771" width="9.5546875" style="355" customWidth="1"/>
    <col min="772" max="772" width="14.5546875" style="355" customWidth="1"/>
    <col min="773" max="773" width="15" style="355" customWidth="1"/>
    <col min="774" max="774" width="12.44140625" style="355" customWidth="1"/>
    <col min="775" max="777" width="0" style="355" hidden="1" customWidth="1"/>
    <col min="778" max="778" width="13.88671875" style="355" customWidth="1"/>
    <col min="779" max="779" width="13.6640625" style="355" customWidth="1"/>
    <col min="780" max="780" width="13.5546875" style="355" customWidth="1"/>
    <col min="781" max="781" width="10.33203125" style="355" customWidth="1"/>
    <col min="782" max="782" width="10.109375" style="355" customWidth="1"/>
    <col min="783" max="783" width="10.5546875" style="355" customWidth="1"/>
    <col min="784" max="786" width="0" style="355" hidden="1" customWidth="1"/>
    <col min="787" max="1024" width="9.109375" style="355"/>
    <col min="1025" max="1025" width="84" style="355" customWidth="1"/>
    <col min="1026" max="1026" width="8.109375" style="355" customWidth="1"/>
    <col min="1027" max="1027" width="9.5546875" style="355" customWidth="1"/>
    <col min="1028" max="1028" width="14.5546875" style="355" customWidth="1"/>
    <col min="1029" max="1029" width="15" style="355" customWidth="1"/>
    <col min="1030" max="1030" width="12.44140625" style="355" customWidth="1"/>
    <col min="1031" max="1033" width="0" style="355" hidden="1" customWidth="1"/>
    <col min="1034" max="1034" width="13.88671875" style="355" customWidth="1"/>
    <col min="1035" max="1035" width="13.6640625" style="355" customWidth="1"/>
    <col min="1036" max="1036" width="13.5546875" style="355" customWidth="1"/>
    <col min="1037" max="1037" width="10.33203125" style="355" customWidth="1"/>
    <col min="1038" max="1038" width="10.109375" style="355" customWidth="1"/>
    <col min="1039" max="1039" width="10.5546875" style="355" customWidth="1"/>
    <col min="1040" max="1042" width="0" style="355" hidden="1" customWidth="1"/>
    <col min="1043" max="1280" width="9.109375" style="355"/>
    <col min="1281" max="1281" width="84" style="355" customWidth="1"/>
    <col min="1282" max="1282" width="8.109375" style="355" customWidth="1"/>
    <col min="1283" max="1283" width="9.5546875" style="355" customWidth="1"/>
    <col min="1284" max="1284" width="14.5546875" style="355" customWidth="1"/>
    <col min="1285" max="1285" width="15" style="355" customWidth="1"/>
    <col min="1286" max="1286" width="12.44140625" style="355" customWidth="1"/>
    <col min="1287" max="1289" width="0" style="355" hidden="1" customWidth="1"/>
    <col min="1290" max="1290" width="13.88671875" style="355" customWidth="1"/>
    <col min="1291" max="1291" width="13.6640625" style="355" customWidth="1"/>
    <col min="1292" max="1292" width="13.5546875" style="355" customWidth="1"/>
    <col min="1293" max="1293" width="10.33203125" style="355" customWidth="1"/>
    <col min="1294" max="1294" width="10.109375" style="355" customWidth="1"/>
    <col min="1295" max="1295" width="10.5546875" style="355" customWidth="1"/>
    <col min="1296" max="1298" width="0" style="355" hidden="1" customWidth="1"/>
    <col min="1299" max="1536" width="9.109375" style="355"/>
    <col min="1537" max="1537" width="84" style="355" customWidth="1"/>
    <col min="1538" max="1538" width="8.109375" style="355" customWidth="1"/>
    <col min="1539" max="1539" width="9.5546875" style="355" customWidth="1"/>
    <col min="1540" max="1540" width="14.5546875" style="355" customWidth="1"/>
    <col min="1541" max="1541" width="15" style="355" customWidth="1"/>
    <col min="1542" max="1542" width="12.44140625" style="355" customWidth="1"/>
    <col min="1543" max="1545" width="0" style="355" hidden="1" customWidth="1"/>
    <col min="1546" max="1546" width="13.88671875" style="355" customWidth="1"/>
    <col min="1547" max="1547" width="13.6640625" style="355" customWidth="1"/>
    <col min="1548" max="1548" width="13.5546875" style="355" customWidth="1"/>
    <col min="1549" max="1549" width="10.33203125" style="355" customWidth="1"/>
    <col min="1550" max="1550" width="10.109375" style="355" customWidth="1"/>
    <col min="1551" max="1551" width="10.5546875" style="355" customWidth="1"/>
    <col min="1552" max="1554" width="0" style="355" hidden="1" customWidth="1"/>
    <col min="1555" max="1792" width="9.109375" style="355"/>
    <col min="1793" max="1793" width="84" style="355" customWidth="1"/>
    <col min="1794" max="1794" width="8.109375" style="355" customWidth="1"/>
    <col min="1795" max="1795" width="9.5546875" style="355" customWidth="1"/>
    <col min="1796" max="1796" width="14.5546875" style="355" customWidth="1"/>
    <col min="1797" max="1797" width="15" style="355" customWidth="1"/>
    <col min="1798" max="1798" width="12.44140625" style="355" customWidth="1"/>
    <col min="1799" max="1801" width="0" style="355" hidden="1" customWidth="1"/>
    <col min="1802" max="1802" width="13.88671875" style="355" customWidth="1"/>
    <col min="1803" max="1803" width="13.6640625" style="355" customWidth="1"/>
    <col min="1804" max="1804" width="13.5546875" style="355" customWidth="1"/>
    <col min="1805" max="1805" width="10.33203125" style="355" customWidth="1"/>
    <col min="1806" max="1806" width="10.109375" style="355" customWidth="1"/>
    <col min="1807" max="1807" width="10.5546875" style="355" customWidth="1"/>
    <col min="1808" max="1810" width="0" style="355" hidden="1" customWidth="1"/>
    <col min="1811" max="2048" width="9.109375" style="355"/>
    <col min="2049" max="2049" width="84" style="355" customWidth="1"/>
    <col min="2050" max="2050" width="8.109375" style="355" customWidth="1"/>
    <col min="2051" max="2051" width="9.5546875" style="355" customWidth="1"/>
    <col min="2052" max="2052" width="14.5546875" style="355" customWidth="1"/>
    <col min="2053" max="2053" width="15" style="355" customWidth="1"/>
    <col min="2054" max="2054" width="12.44140625" style="355" customWidth="1"/>
    <col min="2055" max="2057" width="0" style="355" hidden="1" customWidth="1"/>
    <col min="2058" max="2058" width="13.88671875" style="355" customWidth="1"/>
    <col min="2059" max="2059" width="13.6640625" style="355" customWidth="1"/>
    <col min="2060" max="2060" width="13.5546875" style="355" customWidth="1"/>
    <col min="2061" max="2061" width="10.33203125" style="355" customWidth="1"/>
    <col min="2062" max="2062" width="10.109375" style="355" customWidth="1"/>
    <col min="2063" max="2063" width="10.5546875" style="355" customWidth="1"/>
    <col min="2064" max="2066" width="0" style="355" hidden="1" customWidth="1"/>
    <col min="2067" max="2304" width="9.109375" style="355"/>
    <col min="2305" max="2305" width="84" style="355" customWidth="1"/>
    <col min="2306" max="2306" width="8.109375" style="355" customWidth="1"/>
    <col min="2307" max="2307" width="9.5546875" style="355" customWidth="1"/>
    <col min="2308" max="2308" width="14.5546875" style="355" customWidth="1"/>
    <col min="2309" max="2309" width="15" style="355" customWidth="1"/>
    <col min="2310" max="2310" width="12.44140625" style="355" customWidth="1"/>
    <col min="2311" max="2313" width="0" style="355" hidden="1" customWidth="1"/>
    <col min="2314" max="2314" width="13.88671875" style="355" customWidth="1"/>
    <col min="2315" max="2315" width="13.6640625" style="355" customWidth="1"/>
    <col min="2316" max="2316" width="13.5546875" style="355" customWidth="1"/>
    <col min="2317" max="2317" width="10.33203125" style="355" customWidth="1"/>
    <col min="2318" max="2318" width="10.109375" style="355" customWidth="1"/>
    <col min="2319" max="2319" width="10.5546875" style="355" customWidth="1"/>
    <col min="2320" max="2322" width="0" style="355" hidden="1" customWidth="1"/>
    <col min="2323" max="2560" width="9.109375" style="355"/>
    <col min="2561" max="2561" width="84" style="355" customWidth="1"/>
    <col min="2562" max="2562" width="8.109375" style="355" customWidth="1"/>
    <col min="2563" max="2563" width="9.5546875" style="355" customWidth="1"/>
    <col min="2564" max="2564" width="14.5546875" style="355" customWidth="1"/>
    <col min="2565" max="2565" width="15" style="355" customWidth="1"/>
    <col min="2566" max="2566" width="12.44140625" style="355" customWidth="1"/>
    <col min="2567" max="2569" width="0" style="355" hidden="1" customWidth="1"/>
    <col min="2570" max="2570" width="13.88671875" style="355" customWidth="1"/>
    <col min="2571" max="2571" width="13.6640625" style="355" customWidth="1"/>
    <col min="2572" max="2572" width="13.5546875" style="355" customWidth="1"/>
    <col min="2573" max="2573" width="10.33203125" style="355" customWidth="1"/>
    <col min="2574" max="2574" width="10.109375" style="355" customWidth="1"/>
    <col min="2575" max="2575" width="10.5546875" style="355" customWidth="1"/>
    <col min="2576" max="2578" width="0" style="355" hidden="1" customWidth="1"/>
    <col min="2579" max="2816" width="9.109375" style="355"/>
    <col min="2817" max="2817" width="84" style="355" customWidth="1"/>
    <col min="2818" max="2818" width="8.109375" style="355" customWidth="1"/>
    <col min="2819" max="2819" width="9.5546875" style="355" customWidth="1"/>
    <col min="2820" max="2820" width="14.5546875" style="355" customWidth="1"/>
    <col min="2821" max="2821" width="15" style="355" customWidth="1"/>
    <col min="2822" max="2822" width="12.44140625" style="355" customWidth="1"/>
    <col min="2823" max="2825" width="0" style="355" hidden="1" customWidth="1"/>
    <col min="2826" max="2826" width="13.88671875" style="355" customWidth="1"/>
    <col min="2827" max="2827" width="13.6640625" style="355" customWidth="1"/>
    <col min="2828" max="2828" width="13.5546875" style="355" customWidth="1"/>
    <col min="2829" max="2829" width="10.33203125" style="355" customWidth="1"/>
    <col min="2830" max="2830" width="10.109375" style="355" customWidth="1"/>
    <col min="2831" max="2831" width="10.5546875" style="355" customWidth="1"/>
    <col min="2832" max="2834" width="0" style="355" hidden="1" customWidth="1"/>
    <col min="2835" max="3072" width="9.109375" style="355"/>
    <col min="3073" max="3073" width="84" style="355" customWidth="1"/>
    <col min="3074" max="3074" width="8.109375" style="355" customWidth="1"/>
    <col min="3075" max="3075" width="9.5546875" style="355" customWidth="1"/>
    <col min="3076" max="3076" width="14.5546875" style="355" customWidth="1"/>
    <col min="3077" max="3077" width="15" style="355" customWidth="1"/>
    <col min="3078" max="3078" width="12.44140625" style="355" customWidth="1"/>
    <col min="3079" max="3081" width="0" style="355" hidden="1" customWidth="1"/>
    <col min="3082" max="3082" width="13.88671875" style="355" customWidth="1"/>
    <col min="3083" max="3083" width="13.6640625" style="355" customWidth="1"/>
    <col min="3084" max="3084" width="13.5546875" style="355" customWidth="1"/>
    <col min="3085" max="3085" width="10.33203125" style="355" customWidth="1"/>
    <col min="3086" max="3086" width="10.109375" style="355" customWidth="1"/>
    <col min="3087" max="3087" width="10.5546875" style="355" customWidth="1"/>
    <col min="3088" max="3090" width="0" style="355" hidden="1" customWidth="1"/>
    <col min="3091" max="3328" width="9.109375" style="355"/>
    <col min="3329" max="3329" width="84" style="355" customWidth="1"/>
    <col min="3330" max="3330" width="8.109375" style="355" customWidth="1"/>
    <col min="3331" max="3331" width="9.5546875" style="355" customWidth="1"/>
    <col min="3332" max="3332" width="14.5546875" style="355" customWidth="1"/>
    <col min="3333" max="3333" width="15" style="355" customWidth="1"/>
    <col min="3334" max="3334" width="12.44140625" style="355" customWidth="1"/>
    <col min="3335" max="3337" width="0" style="355" hidden="1" customWidth="1"/>
    <col min="3338" max="3338" width="13.88671875" style="355" customWidth="1"/>
    <col min="3339" max="3339" width="13.6640625" style="355" customWidth="1"/>
    <col min="3340" max="3340" width="13.5546875" style="355" customWidth="1"/>
    <col min="3341" max="3341" width="10.33203125" style="355" customWidth="1"/>
    <col min="3342" max="3342" width="10.109375" style="355" customWidth="1"/>
    <col min="3343" max="3343" width="10.5546875" style="355" customWidth="1"/>
    <col min="3344" max="3346" width="0" style="355" hidden="1" customWidth="1"/>
    <col min="3347" max="3584" width="9.109375" style="355"/>
    <col min="3585" max="3585" width="84" style="355" customWidth="1"/>
    <col min="3586" max="3586" width="8.109375" style="355" customWidth="1"/>
    <col min="3587" max="3587" width="9.5546875" style="355" customWidth="1"/>
    <col min="3588" max="3588" width="14.5546875" style="355" customWidth="1"/>
    <col min="3589" max="3589" width="15" style="355" customWidth="1"/>
    <col min="3590" max="3590" width="12.44140625" style="355" customWidth="1"/>
    <col min="3591" max="3593" width="0" style="355" hidden="1" customWidth="1"/>
    <col min="3594" max="3594" width="13.88671875" style="355" customWidth="1"/>
    <col min="3595" max="3595" width="13.6640625" style="355" customWidth="1"/>
    <col min="3596" max="3596" width="13.5546875" style="355" customWidth="1"/>
    <col min="3597" max="3597" width="10.33203125" style="355" customWidth="1"/>
    <col min="3598" max="3598" width="10.109375" style="355" customWidth="1"/>
    <col min="3599" max="3599" width="10.5546875" style="355" customWidth="1"/>
    <col min="3600" max="3602" width="0" style="355" hidden="1" customWidth="1"/>
    <col min="3603" max="3840" width="9.109375" style="355"/>
    <col min="3841" max="3841" width="84" style="355" customWidth="1"/>
    <col min="3842" max="3842" width="8.109375" style="355" customWidth="1"/>
    <col min="3843" max="3843" width="9.5546875" style="355" customWidth="1"/>
    <col min="3844" max="3844" width="14.5546875" style="355" customWidth="1"/>
    <col min="3845" max="3845" width="15" style="355" customWidth="1"/>
    <col min="3846" max="3846" width="12.44140625" style="355" customWidth="1"/>
    <col min="3847" max="3849" width="0" style="355" hidden="1" customWidth="1"/>
    <col min="3850" max="3850" width="13.88671875" style="355" customWidth="1"/>
    <col min="3851" max="3851" width="13.6640625" style="355" customWidth="1"/>
    <col min="3852" max="3852" width="13.5546875" style="355" customWidth="1"/>
    <col min="3853" max="3853" width="10.33203125" style="355" customWidth="1"/>
    <col min="3854" max="3854" width="10.109375" style="355" customWidth="1"/>
    <col min="3855" max="3855" width="10.5546875" style="355" customWidth="1"/>
    <col min="3856" max="3858" width="0" style="355" hidden="1" customWidth="1"/>
    <col min="3859" max="4096" width="9.109375" style="355"/>
    <col min="4097" max="4097" width="84" style="355" customWidth="1"/>
    <col min="4098" max="4098" width="8.109375" style="355" customWidth="1"/>
    <col min="4099" max="4099" width="9.5546875" style="355" customWidth="1"/>
    <col min="4100" max="4100" width="14.5546875" style="355" customWidth="1"/>
    <col min="4101" max="4101" width="15" style="355" customWidth="1"/>
    <col min="4102" max="4102" width="12.44140625" style="355" customWidth="1"/>
    <col min="4103" max="4105" width="0" style="355" hidden="1" customWidth="1"/>
    <col min="4106" max="4106" width="13.88671875" style="355" customWidth="1"/>
    <col min="4107" max="4107" width="13.6640625" style="355" customWidth="1"/>
    <col min="4108" max="4108" width="13.5546875" style="355" customWidth="1"/>
    <col min="4109" max="4109" width="10.33203125" style="355" customWidth="1"/>
    <col min="4110" max="4110" width="10.109375" style="355" customWidth="1"/>
    <col min="4111" max="4111" width="10.5546875" style="355" customWidth="1"/>
    <col min="4112" max="4114" width="0" style="355" hidden="1" customWidth="1"/>
    <col min="4115" max="4352" width="9.109375" style="355"/>
    <col min="4353" max="4353" width="84" style="355" customWidth="1"/>
    <col min="4354" max="4354" width="8.109375" style="355" customWidth="1"/>
    <col min="4355" max="4355" width="9.5546875" style="355" customWidth="1"/>
    <col min="4356" max="4356" width="14.5546875" style="355" customWidth="1"/>
    <col min="4357" max="4357" width="15" style="355" customWidth="1"/>
    <col min="4358" max="4358" width="12.44140625" style="355" customWidth="1"/>
    <col min="4359" max="4361" width="0" style="355" hidden="1" customWidth="1"/>
    <col min="4362" max="4362" width="13.88671875" style="355" customWidth="1"/>
    <col min="4363" max="4363" width="13.6640625" style="355" customWidth="1"/>
    <col min="4364" max="4364" width="13.5546875" style="355" customWidth="1"/>
    <col min="4365" max="4365" width="10.33203125" style="355" customWidth="1"/>
    <col min="4366" max="4366" width="10.109375" style="355" customWidth="1"/>
    <col min="4367" max="4367" width="10.5546875" style="355" customWidth="1"/>
    <col min="4368" max="4370" width="0" style="355" hidden="1" customWidth="1"/>
    <col min="4371" max="4608" width="9.109375" style="355"/>
    <col min="4609" max="4609" width="84" style="355" customWidth="1"/>
    <col min="4610" max="4610" width="8.109375" style="355" customWidth="1"/>
    <col min="4611" max="4611" width="9.5546875" style="355" customWidth="1"/>
    <col min="4612" max="4612" width="14.5546875" style="355" customWidth="1"/>
    <col min="4613" max="4613" width="15" style="355" customWidth="1"/>
    <col min="4614" max="4614" width="12.44140625" style="355" customWidth="1"/>
    <col min="4615" max="4617" width="0" style="355" hidden="1" customWidth="1"/>
    <col min="4618" max="4618" width="13.88671875" style="355" customWidth="1"/>
    <col min="4619" max="4619" width="13.6640625" style="355" customWidth="1"/>
    <col min="4620" max="4620" width="13.5546875" style="355" customWidth="1"/>
    <col min="4621" max="4621" width="10.33203125" style="355" customWidth="1"/>
    <col min="4622" max="4622" width="10.109375" style="355" customWidth="1"/>
    <col min="4623" max="4623" width="10.5546875" style="355" customWidth="1"/>
    <col min="4624" max="4626" width="0" style="355" hidden="1" customWidth="1"/>
    <col min="4627" max="4864" width="9.109375" style="355"/>
    <col min="4865" max="4865" width="84" style="355" customWidth="1"/>
    <col min="4866" max="4866" width="8.109375" style="355" customWidth="1"/>
    <col min="4867" max="4867" width="9.5546875" style="355" customWidth="1"/>
    <col min="4868" max="4868" width="14.5546875" style="355" customWidth="1"/>
    <col min="4869" max="4869" width="15" style="355" customWidth="1"/>
    <col min="4870" max="4870" width="12.44140625" style="355" customWidth="1"/>
    <col min="4871" max="4873" width="0" style="355" hidden="1" customWidth="1"/>
    <col min="4874" max="4874" width="13.88671875" style="355" customWidth="1"/>
    <col min="4875" max="4875" width="13.6640625" style="355" customWidth="1"/>
    <col min="4876" max="4876" width="13.5546875" style="355" customWidth="1"/>
    <col min="4877" max="4877" width="10.33203125" style="355" customWidth="1"/>
    <col min="4878" max="4878" width="10.109375" style="355" customWidth="1"/>
    <col min="4879" max="4879" width="10.5546875" style="355" customWidth="1"/>
    <col min="4880" max="4882" width="0" style="355" hidden="1" customWidth="1"/>
    <col min="4883" max="5120" width="9.109375" style="355"/>
    <col min="5121" max="5121" width="84" style="355" customWidth="1"/>
    <col min="5122" max="5122" width="8.109375" style="355" customWidth="1"/>
    <col min="5123" max="5123" width="9.5546875" style="355" customWidth="1"/>
    <col min="5124" max="5124" width="14.5546875" style="355" customWidth="1"/>
    <col min="5125" max="5125" width="15" style="355" customWidth="1"/>
    <col min="5126" max="5126" width="12.44140625" style="355" customWidth="1"/>
    <col min="5127" max="5129" width="0" style="355" hidden="1" customWidth="1"/>
    <col min="5130" max="5130" width="13.88671875" style="355" customWidth="1"/>
    <col min="5131" max="5131" width="13.6640625" style="355" customWidth="1"/>
    <col min="5132" max="5132" width="13.5546875" style="355" customWidth="1"/>
    <col min="5133" max="5133" width="10.33203125" style="355" customWidth="1"/>
    <col min="5134" max="5134" width="10.109375" style="355" customWidth="1"/>
    <col min="5135" max="5135" width="10.5546875" style="355" customWidth="1"/>
    <col min="5136" max="5138" width="0" style="355" hidden="1" customWidth="1"/>
    <col min="5139" max="5376" width="9.109375" style="355"/>
    <col min="5377" max="5377" width="84" style="355" customWidth="1"/>
    <col min="5378" max="5378" width="8.109375" style="355" customWidth="1"/>
    <col min="5379" max="5379" width="9.5546875" style="355" customWidth="1"/>
    <col min="5380" max="5380" width="14.5546875" style="355" customWidth="1"/>
    <col min="5381" max="5381" width="15" style="355" customWidth="1"/>
    <col min="5382" max="5382" width="12.44140625" style="355" customWidth="1"/>
    <col min="5383" max="5385" width="0" style="355" hidden="1" customWidth="1"/>
    <col min="5386" max="5386" width="13.88671875" style="355" customWidth="1"/>
    <col min="5387" max="5387" width="13.6640625" style="355" customWidth="1"/>
    <col min="5388" max="5388" width="13.5546875" style="355" customWidth="1"/>
    <col min="5389" max="5389" width="10.33203125" style="355" customWidth="1"/>
    <col min="5390" max="5390" width="10.109375" style="355" customWidth="1"/>
    <col min="5391" max="5391" width="10.5546875" style="355" customWidth="1"/>
    <col min="5392" max="5394" width="0" style="355" hidden="1" customWidth="1"/>
    <col min="5395" max="5632" width="9.109375" style="355"/>
    <col min="5633" max="5633" width="84" style="355" customWidth="1"/>
    <col min="5634" max="5634" width="8.109375" style="355" customWidth="1"/>
    <col min="5635" max="5635" width="9.5546875" style="355" customWidth="1"/>
    <col min="5636" max="5636" width="14.5546875" style="355" customWidth="1"/>
    <col min="5637" max="5637" width="15" style="355" customWidth="1"/>
    <col min="5638" max="5638" width="12.44140625" style="355" customWidth="1"/>
    <col min="5639" max="5641" width="0" style="355" hidden="1" customWidth="1"/>
    <col min="5642" max="5642" width="13.88671875" style="355" customWidth="1"/>
    <col min="5643" max="5643" width="13.6640625" style="355" customWidth="1"/>
    <col min="5644" max="5644" width="13.5546875" style="355" customWidth="1"/>
    <col min="5645" max="5645" width="10.33203125" style="355" customWidth="1"/>
    <col min="5646" max="5646" width="10.109375" style="355" customWidth="1"/>
    <col min="5647" max="5647" width="10.5546875" style="355" customWidth="1"/>
    <col min="5648" max="5650" width="0" style="355" hidden="1" customWidth="1"/>
    <col min="5651" max="5888" width="9.109375" style="355"/>
    <col min="5889" max="5889" width="84" style="355" customWidth="1"/>
    <col min="5890" max="5890" width="8.109375" style="355" customWidth="1"/>
    <col min="5891" max="5891" width="9.5546875" style="355" customWidth="1"/>
    <col min="5892" max="5892" width="14.5546875" style="355" customWidth="1"/>
    <col min="5893" max="5893" width="15" style="355" customWidth="1"/>
    <col min="5894" max="5894" width="12.44140625" style="355" customWidth="1"/>
    <col min="5895" max="5897" width="0" style="355" hidden="1" customWidth="1"/>
    <col min="5898" max="5898" width="13.88671875" style="355" customWidth="1"/>
    <col min="5899" max="5899" width="13.6640625" style="355" customWidth="1"/>
    <col min="5900" max="5900" width="13.5546875" style="355" customWidth="1"/>
    <col min="5901" max="5901" width="10.33203125" style="355" customWidth="1"/>
    <col min="5902" max="5902" width="10.109375" style="355" customWidth="1"/>
    <col min="5903" max="5903" width="10.5546875" style="355" customWidth="1"/>
    <col min="5904" max="5906" width="0" style="355" hidden="1" customWidth="1"/>
    <col min="5907" max="6144" width="9.109375" style="355"/>
    <col min="6145" max="6145" width="84" style="355" customWidth="1"/>
    <col min="6146" max="6146" width="8.109375" style="355" customWidth="1"/>
    <col min="6147" max="6147" width="9.5546875" style="355" customWidth="1"/>
    <col min="6148" max="6148" width="14.5546875" style="355" customWidth="1"/>
    <col min="6149" max="6149" width="15" style="355" customWidth="1"/>
    <col min="6150" max="6150" width="12.44140625" style="355" customWidth="1"/>
    <col min="6151" max="6153" width="0" style="355" hidden="1" customWidth="1"/>
    <col min="6154" max="6154" width="13.88671875" style="355" customWidth="1"/>
    <col min="6155" max="6155" width="13.6640625" style="355" customWidth="1"/>
    <col min="6156" max="6156" width="13.5546875" style="355" customWidth="1"/>
    <col min="6157" max="6157" width="10.33203125" style="355" customWidth="1"/>
    <col min="6158" max="6158" width="10.109375" style="355" customWidth="1"/>
    <col min="6159" max="6159" width="10.5546875" style="355" customWidth="1"/>
    <col min="6160" max="6162" width="0" style="355" hidden="1" customWidth="1"/>
    <col min="6163" max="6400" width="9.109375" style="355"/>
    <col min="6401" max="6401" width="84" style="355" customWidth="1"/>
    <col min="6402" max="6402" width="8.109375" style="355" customWidth="1"/>
    <col min="6403" max="6403" width="9.5546875" style="355" customWidth="1"/>
    <col min="6404" max="6404" width="14.5546875" style="355" customWidth="1"/>
    <col min="6405" max="6405" width="15" style="355" customWidth="1"/>
    <col min="6406" max="6406" width="12.44140625" style="355" customWidth="1"/>
    <col min="6407" max="6409" width="0" style="355" hidden="1" customWidth="1"/>
    <col min="6410" max="6410" width="13.88671875" style="355" customWidth="1"/>
    <col min="6411" max="6411" width="13.6640625" style="355" customWidth="1"/>
    <col min="6412" max="6412" width="13.5546875" style="355" customWidth="1"/>
    <col min="6413" max="6413" width="10.33203125" style="355" customWidth="1"/>
    <col min="6414" max="6414" width="10.109375" style="355" customWidth="1"/>
    <col min="6415" max="6415" width="10.5546875" style="355" customWidth="1"/>
    <col min="6416" max="6418" width="0" style="355" hidden="1" customWidth="1"/>
    <col min="6419" max="6656" width="9.109375" style="355"/>
    <col min="6657" max="6657" width="84" style="355" customWidth="1"/>
    <col min="6658" max="6658" width="8.109375" style="355" customWidth="1"/>
    <col min="6659" max="6659" width="9.5546875" style="355" customWidth="1"/>
    <col min="6660" max="6660" width="14.5546875" style="355" customWidth="1"/>
    <col min="6661" max="6661" width="15" style="355" customWidth="1"/>
    <col min="6662" max="6662" width="12.44140625" style="355" customWidth="1"/>
    <col min="6663" max="6665" width="0" style="355" hidden="1" customWidth="1"/>
    <col min="6666" max="6666" width="13.88671875" style="355" customWidth="1"/>
    <col min="6667" max="6667" width="13.6640625" style="355" customWidth="1"/>
    <col min="6668" max="6668" width="13.5546875" style="355" customWidth="1"/>
    <col min="6669" max="6669" width="10.33203125" style="355" customWidth="1"/>
    <col min="6670" max="6670" width="10.109375" style="355" customWidth="1"/>
    <col min="6671" max="6671" width="10.5546875" style="355" customWidth="1"/>
    <col min="6672" max="6674" width="0" style="355" hidden="1" customWidth="1"/>
    <col min="6675" max="6912" width="9.109375" style="355"/>
    <col min="6913" max="6913" width="84" style="355" customWidth="1"/>
    <col min="6914" max="6914" width="8.109375" style="355" customWidth="1"/>
    <col min="6915" max="6915" width="9.5546875" style="355" customWidth="1"/>
    <col min="6916" max="6916" width="14.5546875" style="355" customWidth="1"/>
    <col min="6917" max="6917" width="15" style="355" customWidth="1"/>
    <col min="6918" max="6918" width="12.44140625" style="355" customWidth="1"/>
    <col min="6919" max="6921" width="0" style="355" hidden="1" customWidth="1"/>
    <col min="6922" max="6922" width="13.88671875" style="355" customWidth="1"/>
    <col min="6923" max="6923" width="13.6640625" style="355" customWidth="1"/>
    <col min="6924" max="6924" width="13.5546875" style="355" customWidth="1"/>
    <col min="6925" max="6925" width="10.33203125" style="355" customWidth="1"/>
    <col min="6926" max="6926" width="10.109375" style="355" customWidth="1"/>
    <col min="6927" max="6927" width="10.5546875" style="355" customWidth="1"/>
    <col min="6928" max="6930" width="0" style="355" hidden="1" customWidth="1"/>
    <col min="6931" max="7168" width="9.109375" style="355"/>
    <col min="7169" max="7169" width="84" style="355" customWidth="1"/>
    <col min="7170" max="7170" width="8.109375" style="355" customWidth="1"/>
    <col min="7171" max="7171" width="9.5546875" style="355" customWidth="1"/>
    <col min="7172" max="7172" width="14.5546875" style="355" customWidth="1"/>
    <col min="7173" max="7173" width="15" style="355" customWidth="1"/>
    <col min="7174" max="7174" width="12.44140625" style="355" customWidth="1"/>
    <col min="7175" max="7177" width="0" style="355" hidden="1" customWidth="1"/>
    <col min="7178" max="7178" width="13.88671875" style="355" customWidth="1"/>
    <col min="7179" max="7179" width="13.6640625" style="355" customWidth="1"/>
    <col min="7180" max="7180" width="13.5546875" style="355" customWidth="1"/>
    <col min="7181" max="7181" width="10.33203125" style="355" customWidth="1"/>
    <col min="7182" max="7182" width="10.109375" style="355" customWidth="1"/>
    <col min="7183" max="7183" width="10.5546875" style="355" customWidth="1"/>
    <col min="7184" max="7186" width="0" style="355" hidden="1" customWidth="1"/>
    <col min="7187" max="7424" width="9.109375" style="355"/>
    <col min="7425" max="7425" width="84" style="355" customWidth="1"/>
    <col min="7426" max="7426" width="8.109375" style="355" customWidth="1"/>
    <col min="7427" max="7427" width="9.5546875" style="355" customWidth="1"/>
    <col min="7428" max="7428" width="14.5546875" style="355" customWidth="1"/>
    <col min="7429" max="7429" width="15" style="355" customWidth="1"/>
    <col min="7430" max="7430" width="12.44140625" style="355" customWidth="1"/>
    <col min="7431" max="7433" width="0" style="355" hidden="1" customWidth="1"/>
    <col min="7434" max="7434" width="13.88671875" style="355" customWidth="1"/>
    <col min="7435" max="7435" width="13.6640625" style="355" customWidth="1"/>
    <col min="7436" max="7436" width="13.5546875" style="355" customWidth="1"/>
    <col min="7437" max="7437" width="10.33203125" style="355" customWidth="1"/>
    <col min="7438" max="7438" width="10.109375" style="355" customWidth="1"/>
    <col min="7439" max="7439" width="10.5546875" style="355" customWidth="1"/>
    <col min="7440" max="7442" width="0" style="355" hidden="1" customWidth="1"/>
    <col min="7443" max="7680" width="9.109375" style="355"/>
    <col min="7681" max="7681" width="84" style="355" customWidth="1"/>
    <col min="7682" max="7682" width="8.109375" style="355" customWidth="1"/>
    <col min="7683" max="7683" width="9.5546875" style="355" customWidth="1"/>
    <col min="7684" max="7684" width="14.5546875" style="355" customWidth="1"/>
    <col min="7685" max="7685" width="15" style="355" customWidth="1"/>
    <col min="7686" max="7686" width="12.44140625" style="355" customWidth="1"/>
    <col min="7687" max="7689" width="0" style="355" hidden="1" customWidth="1"/>
    <col min="7690" max="7690" width="13.88671875" style="355" customWidth="1"/>
    <col min="7691" max="7691" width="13.6640625" style="355" customWidth="1"/>
    <col min="7692" max="7692" width="13.5546875" style="355" customWidth="1"/>
    <col min="7693" max="7693" width="10.33203125" style="355" customWidth="1"/>
    <col min="7694" max="7694" width="10.109375" style="355" customWidth="1"/>
    <col min="7695" max="7695" width="10.5546875" style="355" customWidth="1"/>
    <col min="7696" max="7698" width="0" style="355" hidden="1" customWidth="1"/>
    <col min="7699" max="7936" width="9.109375" style="355"/>
    <col min="7937" max="7937" width="84" style="355" customWidth="1"/>
    <col min="7938" max="7938" width="8.109375" style="355" customWidth="1"/>
    <col min="7939" max="7939" width="9.5546875" style="355" customWidth="1"/>
    <col min="7940" max="7940" width="14.5546875" style="355" customWidth="1"/>
    <col min="7941" max="7941" width="15" style="355" customWidth="1"/>
    <col min="7942" max="7942" width="12.44140625" style="355" customWidth="1"/>
    <col min="7943" max="7945" width="0" style="355" hidden="1" customWidth="1"/>
    <col min="7946" max="7946" width="13.88671875" style="355" customWidth="1"/>
    <col min="7947" max="7947" width="13.6640625" style="355" customWidth="1"/>
    <col min="7948" max="7948" width="13.5546875" style="355" customWidth="1"/>
    <col min="7949" max="7949" width="10.33203125" style="355" customWidth="1"/>
    <col min="7950" max="7950" width="10.109375" style="355" customWidth="1"/>
    <col min="7951" max="7951" width="10.5546875" style="355" customWidth="1"/>
    <col min="7952" max="7954" width="0" style="355" hidden="1" customWidth="1"/>
    <col min="7955" max="8192" width="9.109375" style="355"/>
    <col min="8193" max="8193" width="84" style="355" customWidth="1"/>
    <col min="8194" max="8194" width="8.109375" style="355" customWidth="1"/>
    <col min="8195" max="8195" width="9.5546875" style="355" customWidth="1"/>
    <col min="8196" max="8196" width="14.5546875" style="355" customWidth="1"/>
    <col min="8197" max="8197" width="15" style="355" customWidth="1"/>
    <col min="8198" max="8198" width="12.44140625" style="355" customWidth="1"/>
    <col min="8199" max="8201" width="0" style="355" hidden="1" customWidth="1"/>
    <col min="8202" max="8202" width="13.88671875" style="355" customWidth="1"/>
    <col min="8203" max="8203" width="13.6640625" style="355" customWidth="1"/>
    <col min="8204" max="8204" width="13.5546875" style="355" customWidth="1"/>
    <col min="8205" max="8205" width="10.33203125" style="355" customWidth="1"/>
    <col min="8206" max="8206" width="10.109375" style="355" customWidth="1"/>
    <col min="8207" max="8207" width="10.5546875" style="355" customWidth="1"/>
    <col min="8208" max="8210" width="0" style="355" hidden="1" customWidth="1"/>
    <col min="8211" max="8448" width="9.109375" style="355"/>
    <col min="8449" max="8449" width="84" style="355" customWidth="1"/>
    <col min="8450" max="8450" width="8.109375" style="355" customWidth="1"/>
    <col min="8451" max="8451" width="9.5546875" style="355" customWidth="1"/>
    <col min="8452" max="8452" width="14.5546875" style="355" customWidth="1"/>
    <col min="8453" max="8453" width="15" style="355" customWidth="1"/>
    <col min="8454" max="8454" width="12.44140625" style="355" customWidth="1"/>
    <col min="8455" max="8457" width="0" style="355" hidden="1" customWidth="1"/>
    <col min="8458" max="8458" width="13.88671875" style="355" customWidth="1"/>
    <col min="8459" max="8459" width="13.6640625" style="355" customWidth="1"/>
    <col min="8460" max="8460" width="13.5546875" style="355" customWidth="1"/>
    <col min="8461" max="8461" width="10.33203125" style="355" customWidth="1"/>
    <col min="8462" max="8462" width="10.109375" style="355" customWidth="1"/>
    <col min="8463" max="8463" width="10.5546875" style="355" customWidth="1"/>
    <col min="8464" max="8466" width="0" style="355" hidden="1" customWidth="1"/>
    <col min="8467" max="8704" width="9.109375" style="355"/>
    <col min="8705" max="8705" width="84" style="355" customWidth="1"/>
    <col min="8706" max="8706" width="8.109375" style="355" customWidth="1"/>
    <col min="8707" max="8707" width="9.5546875" style="355" customWidth="1"/>
    <col min="8708" max="8708" width="14.5546875" style="355" customWidth="1"/>
    <col min="8709" max="8709" width="15" style="355" customWidth="1"/>
    <col min="8710" max="8710" width="12.44140625" style="355" customWidth="1"/>
    <col min="8711" max="8713" width="0" style="355" hidden="1" customWidth="1"/>
    <col min="8714" max="8714" width="13.88671875" style="355" customWidth="1"/>
    <col min="8715" max="8715" width="13.6640625" style="355" customWidth="1"/>
    <col min="8716" max="8716" width="13.5546875" style="355" customWidth="1"/>
    <col min="8717" max="8717" width="10.33203125" style="355" customWidth="1"/>
    <col min="8718" max="8718" width="10.109375" style="355" customWidth="1"/>
    <col min="8719" max="8719" width="10.5546875" style="355" customWidth="1"/>
    <col min="8720" max="8722" width="0" style="355" hidden="1" customWidth="1"/>
    <col min="8723" max="8960" width="9.109375" style="355"/>
    <col min="8961" max="8961" width="84" style="355" customWidth="1"/>
    <col min="8962" max="8962" width="8.109375" style="355" customWidth="1"/>
    <col min="8963" max="8963" width="9.5546875" style="355" customWidth="1"/>
    <col min="8964" max="8964" width="14.5546875" style="355" customWidth="1"/>
    <col min="8965" max="8965" width="15" style="355" customWidth="1"/>
    <col min="8966" max="8966" width="12.44140625" style="355" customWidth="1"/>
    <col min="8967" max="8969" width="0" style="355" hidden="1" customWidth="1"/>
    <col min="8970" max="8970" width="13.88671875" style="355" customWidth="1"/>
    <col min="8971" max="8971" width="13.6640625" style="355" customWidth="1"/>
    <col min="8972" max="8972" width="13.5546875" style="355" customWidth="1"/>
    <col min="8973" max="8973" width="10.33203125" style="355" customWidth="1"/>
    <col min="8974" max="8974" width="10.109375" style="355" customWidth="1"/>
    <col min="8975" max="8975" width="10.5546875" style="355" customWidth="1"/>
    <col min="8976" max="8978" width="0" style="355" hidden="1" customWidth="1"/>
    <col min="8979" max="9216" width="9.109375" style="355"/>
    <col min="9217" max="9217" width="84" style="355" customWidth="1"/>
    <col min="9218" max="9218" width="8.109375" style="355" customWidth="1"/>
    <col min="9219" max="9219" width="9.5546875" style="355" customWidth="1"/>
    <col min="9220" max="9220" width="14.5546875" style="355" customWidth="1"/>
    <col min="9221" max="9221" width="15" style="355" customWidth="1"/>
    <col min="9222" max="9222" width="12.44140625" style="355" customWidth="1"/>
    <col min="9223" max="9225" width="0" style="355" hidden="1" customWidth="1"/>
    <col min="9226" max="9226" width="13.88671875" style="355" customWidth="1"/>
    <col min="9227" max="9227" width="13.6640625" style="355" customWidth="1"/>
    <col min="9228" max="9228" width="13.5546875" style="355" customWidth="1"/>
    <col min="9229" max="9229" width="10.33203125" style="355" customWidth="1"/>
    <col min="9230" max="9230" width="10.109375" style="355" customWidth="1"/>
    <col min="9231" max="9231" width="10.5546875" style="355" customWidth="1"/>
    <col min="9232" max="9234" width="0" style="355" hidden="1" customWidth="1"/>
    <col min="9235" max="9472" width="9.109375" style="355"/>
    <col min="9473" max="9473" width="84" style="355" customWidth="1"/>
    <col min="9474" max="9474" width="8.109375" style="355" customWidth="1"/>
    <col min="9475" max="9475" width="9.5546875" style="355" customWidth="1"/>
    <col min="9476" max="9476" width="14.5546875" style="355" customWidth="1"/>
    <col min="9477" max="9477" width="15" style="355" customWidth="1"/>
    <col min="9478" max="9478" width="12.44140625" style="355" customWidth="1"/>
    <col min="9479" max="9481" width="0" style="355" hidden="1" customWidth="1"/>
    <col min="9482" max="9482" width="13.88671875" style="355" customWidth="1"/>
    <col min="9483" max="9483" width="13.6640625" style="355" customWidth="1"/>
    <col min="9484" max="9484" width="13.5546875" style="355" customWidth="1"/>
    <col min="9485" max="9485" width="10.33203125" style="355" customWidth="1"/>
    <col min="9486" max="9486" width="10.109375" style="355" customWidth="1"/>
    <col min="9487" max="9487" width="10.5546875" style="355" customWidth="1"/>
    <col min="9488" max="9490" width="0" style="355" hidden="1" customWidth="1"/>
    <col min="9491" max="9728" width="9.109375" style="355"/>
    <col min="9729" max="9729" width="84" style="355" customWidth="1"/>
    <col min="9730" max="9730" width="8.109375" style="355" customWidth="1"/>
    <col min="9731" max="9731" width="9.5546875" style="355" customWidth="1"/>
    <col min="9732" max="9732" width="14.5546875" style="355" customWidth="1"/>
    <col min="9733" max="9733" width="15" style="355" customWidth="1"/>
    <col min="9734" max="9734" width="12.44140625" style="355" customWidth="1"/>
    <col min="9735" max="9737" width="0" style="355" hidden="1" customWidth="1"/>
    <col min="9738" max="9738" width="13.88671875" style="355" customWidth="1"/>
    <col min="9739" max="9739" width="13.6640625" style="355" customWidth="1"/>
    <col min="9740" max="9740" width="13.5546875" style="355" customWidth="1"/>
    <col min="9741" max="9741" width="10.33203125" style="355" customWidth="1"/>
    <col min="9742" max="9742" width="10.109375" style="355" customWidth="1"/>
    <col min="9743" max="9743" width="10.5546875" style="355" customWidth="1"/>
    <col min="9744" max="9746" width="0" style="355" hidden="1" customWidth="1"/>
    <col min="9747" max="9984" width="9.109375" style="355"/>
    <col min="9985" max="9985" width="84" style="355" customWidth="1"/>
    <col min="9986" max="9986" width="8.109375" style="355" customWidth="1"/>
    <col min="9987" max="9987" width="9.5546875" style="355" customWidth="1"/>
    <col min="9988" max="9988" width="14.5546875" style="355" customWidth="1"/>
    <col min="9989" max="9989" width="15" style="355" customWidth="1"/>
    <col min="9990" max="9990" width="12.44140625" style="355" customWidth="1"/>
    <col min="9991" max="9993" width="0" style="355" hidden="1" customWidth="1"/>
    <col min="9994" max="9994" width="13.88671875" style="355" customWidth="1"/>
    <col min="9995" max="9995" width="13.6640625" style="355" customWidth="1"/>
    <col min="9996" max="9996" width="13.5546875" style="355" customWidth="1"/>
    <col min="9997" max="9997" width="10.33203125" style="355" customWidth="1"/>
    <col min="9998" max="9998" width="10.109375" style="355" customWidth="1"/>
    <col min="9999" max="9999" width="10.5546875" style="355" customWidth="1"/>
    <col min="10000" max="10002" width="0" style="355" hidden="1" customWidth="1"/>
    <col min="10003" max="10240" width="9.109375" style="355"/>
    <col min="10241" max="10241" width="84" style="355" customWidth="1"/>
    <col min="10242" max="10242" width="8.109375" style="355" customWidth="1"/>
    <col min="10243" max="10243" width="9.5546875" style="355" customWidth="1"/>
    <col min="10244" max="10244" width="14.5546875" style="355" customWidth="1"/>
    <col min="10245" max="10245" width="15" style="355" customWidth="1"/>
    <col min="10246" max="10246" width="12.44140625" style="355" customWidth="1"/>
    <col min="10247" max="10249" width="0" style="355" hidden="1" customWidth="1"/>
    <col min="10250" max="10250" width="13.88671875" style="355" customWidth="1"/>
    <col min="10251" max="10251" width="13.6640625" style="355" customWidth="1"/>
    <col min="10252" max="10252" width="13.5546875" style="355" customWidth="1"/>
    <col min="10253" max="10253" width="10.33203125" style="355" customWidth="1"/>
    <col min="10254" max="10254" width="10.109375" style="355" customWidth="1"/>
    <col min="10255" max="10255" width="10.5546875" style="355" customWidth="1"/>
    <col min="10256" max="10258" width="0" style="355" hidden="1" customWidth="1"/>
    <col min="10259" max="10496" width="9.109375" style="355"/>
    <col min="10497" max="10497" width="84" style="355" customWidth="1"/>
    <col min="10498" max="10498" width="8.109375" style="355" customWidth="1"/>
    <col min="10499" max="10499" width="9.5546875" style="355" customWidth="1"/>
    <col min="10500" max="10500" width="14.5546875" style="355" customWidth="1"/>
    <col min="10501" max="10501" width="15" style="355" customWidth="1"/>
    <col min="10502" max="10502" width="12.44140625" style="355" customWidth="1"/>
    <col min="10503" max="10505" width="0" style="355" hidden="1" customWidth="1"/>
    <col min="10506" max="10506" width="13.88671875" style="355" customWidth="1"/>
    <col min="10507" max="10507" width="13.6640625" style="355" customWidth="1"/>
    <col min="10508" max="10508" width="13.5546875" style="355" customWidth="1"/>
    <col min="10509" max="10509" width="10.33203125" style="355" customWidth="1"/>
    <col min="10510" max="10510" width="10.109375" style="355" customWidth="1"/>
    <col min="10511" max="10511" width="10.5546875" style="355" customWidth="1"/>
    <col min="10512" max="10514" width="0" style="355" hidden="1" customWidth="1"/>
    <col min="10515" max="10752" width="9.109375" style="355"/>
    <col min="10753" max="10753" width="84" style="355" customWidth="1"/>
    <col min="10754" max="10754" width="8.109375" style="355" customWidth="1"/>
    <col min="10755" max="10755" width="9.5546875" style="355" customWidth="1"/>
    <col min="10756" max="10756" width="14.5546875" style="355" customWidth="1"/>
    <col min="10757" max="10757" width="15" style="355" customWidth="1"/>
    <col min="10758" max="10758" width="12.44140625" style="355" customWidth="1"/>
    <col min="10759" max="10761" width="0" style="355" hidden="1" customWidth="1"/>
    <col min="10762" max="10762" width="13.88671875" style="355" customWidth="1"/>
    <col min="10763" max="10763" width="13.6640625" style="355" customWidth="1"/>
    <col min="10764" max="10764" width="13.5546875" style="355" customWidth="1"/>
    <col min="10765" max="10765" width="10.33203125" style="355" customWidth="1"/>
    <col min="10766" max="10766" width="10.109375" style="355" customWidth="1"/>
    <col min="10767" max="10767" width="10.5546875" style="355" customWidth="1"/>
    <col min="10768" max="10770" width="0" style="355" hidden="1" customWidth="1"/>
    <col min="10771" max="11008" width="9.109375" style="355"/>
    <col min="11009" max="11009" width="84" style="355" customWidth="1"/>
    <col min="11010" max="11010" width="8.109375" style="355" customWidth="1"/>
    <col min="11011" max="11011" width="9.5546875" style="355" customWidth="1"/>
    <col min="11012" max="11012" width="14.5546875" style="355" customWidth="1"/>
    <col min="11013" max="11013" width="15" style="355" customWidth="1"/>
    <col min="11014" max="11014" width="12.44140625" style="355" customWidth="1"/>
    <col min="11015" max="11017" width="0" style="355" hidden="1" customWidth="1"/>
    <col min="11018" max="11018" width="13.88671875" style="355" customWidth="1"/>
    <col min="11019" max="11019" width="13.6640625" style="355" customWidth="1"/>
    <col min="11020" max="11020" width="13.5546875" style="355" customWidth="1"/>
    <col min="11021" max="11021" width="10.33203125" style="355" customWidth="1"/>
    <col min="11022" max="11022" width="10.109375" style="355" customWidth="1"/>
    <col min="11023" max="11023" width="10.5546875" style="355" customWidth="1"/>
    <col min="11024" max="11026" width="0" style="355" hidden="1" customWidth="1"/>
    <col min="11027" max="11264" width="9.109375" style="355"/>
    <col min="11265" max="11265" width="84" style="355" customWidth="1"/>
    <col min="11266" max="11266" width="8.109375" style="355" customWidth="1"/>
    <col min="11267" max="11267" width="9.5546875" style="355" customWidth="1"/>
    <col min="11268" max="11268" width="14.5546875" style="355" customWidth="1"/>
    <col min="11269" max="11269" width="15" style="355" customWidth="1"/>
    <col min="11270" max="11270" width="12.44140625" style="355" customWidth="1"/>
    <col min="11271" max="11273" width="0" style="355" hidden="1" customWidth="1"/>
    <col min="11274" max="11274" width="13.88671875" style="355" customWidth="1"/>
    <col min="11275" max="11275" width="13.6640625" style="355" customWidth="1"/>
    <col min="11276" max="11276" width="13.5546875" style="355" customWidth="1"/>
    <col min="11277" max="11277" width="10.33203125" style="355" customWidth="1"/>
    <col min="11278" max="11278" width="10.109375" style="355" customWidth="1"/>
    <col min="11279" max="11279" width="10.5546875" style="355" customWidth="1"/>
    <col min="11280" max="11282" width="0" style="355" hidden="1" customWidth="1"/>
    <col min="11283" max="11520" width="9.109375" style="355"/>
    <col min="11521" max="11521" width="84" style="355" customWidth="1"/>
    <col min="11522" max="11522" width="8.109375" style="355" customWidth="1"/>
    <col min="11523" max="11523" width="9.5546875" style="355" customWidth="1"/>
    <col min="11524" max="11524" width="14.5546875" style="355" customWidth="1"/>
    <col min="11525" max="11525" width="15" style="355" customWidth="1"/>
    <col min="11526" max="11526" width="12.44140625" style="355" customWidth="1"/>
    <col min="11527" max="11529" width="0" style="355" hidden="1" customWidth="1"/>
    <col min="11530" max="11530" width="13.88671875" style="355" customWidth="1"/>
    <col min="11531" max="11531" width="13.6640625" style="355" customWidth="1"/>
    <col min="11532" max="11532" width="13.5546875" style="355" customWidth="1"/>
    <col min="11533" max="11533" width="10.33203125" style="355" customWidth="1"/>
    <col min="11534" max="11534" width="10.109375" style="355" customWidth="1"/>
    <col min="11535" max="11535" width="10.5546875" style="355" customWidth="1"/>
    <col min="11536" max="11538" width="0" style="355" hidden="1" customWidth="1"/>
    <col min="11539" max="11776" width="9.109375" style="355"/>
    <col min="11777" max="11777" width="84" style="355" customWidth="1"/>
    <col min="11778" max="11778" width="8.109375" style="355" customWidth="1"/>
    <col min="11779" max="11779" width="9.5546875" style="355" customWidth="1"/>
    <col min="11780" max="11780" width="14.5546875" style="355" customWidth="1"/>
    <col min="11781" max="11781" width="15" style="355" customWidth="1"/>
    <col min="11782" max="11782" width="12.44140625" style="355" customWidth="1"/>
    <col min="11783" max="11785" width="0" style="355" hidden="1" customWidth="1"/>
    <col min="11786" max="11786" width="13.88671875" style="355" customWidth="1"/>
    <col min="11787" max="11787" width="13.6640625" style="355" customWidth="1"/>
    <col min="11788" max="11788" width="13.5546875" style="355" customWidth="1"/>
    <col min="11789" max="11789" width="10.33203125" style="355" customWidth="1"/>
    <col min="11790" max="11790" width="10.109375" style="355" customWidth="1"/>
    <col min="11791" max="11791" width="10.5546875" style="355" customWidth="1"/>
    <col min="11792" max="11794" width="0" style="355" hidden="1" customWidth="1"/>
    <col min="11795" max="12032" width="9.109375" style="355"/>
    <col min="12033" max="12033" width="84" style="355" customWidth="1"/>
    <col min="12034" max="12034" width="8.109375" style="355" customWidth="1"/>
    <col min="12035" max="12035" width="9.5546875" style="355" customWidth="1"/>
    <col min="12036" max="12036" width="14.5546875" style="355" customWidth="1"/>
    <col min="12037" max="12037" width="15" style="355" customWidth="1"/>
    <col min="12038" max="12038" width="12.44140625" style="355" customWidth="1"/>
    <col min="12039" max="12041" width="0" style="355" hidden="1" customWidth="1"/>
    <col min="12042" max="12042" width="13.88671875" style="355" customWidth="1"/>
    <col min="12043" max="12043" width="13.6640625" style="355" customWidth="1"/>
    <col min="12044" max="12044" width="13.5546875" style="355" customWidth="1"/>
    <col min="12045" max="12045" width="10.33203125" style="355" customWidth="1"/>
    <col min="12046" max="12046" width="10.109375" style="355" customWidth="1"/>
    <col min="12047" max="12047" width="10.5546875" style="355" customWidth="1"/>
    <col min="12048" max="12050" width="0" style="355" hidden="1" customWidth="1"/>
    <col min="12051" max="12288" width="9.109375" style="355"/>
    <col min="12289" max="12289" width="84" style="355" customWidth="1"/>
    <col min="12290" max="12290" width="8.109375" style="355" customWidth="1"/>
    <col min="12291" max="12291" width="9.5546875" style="355" customWidth="1"/>
    <col min="12292" max="12292" width="14.5546875" style="355" customWidth="1"/>
    <col min="12293" max="12293" width="15" style="355" customWidth="1"/>
    <col min="12294" max="12294" width="12.44140625" style="355" customWidth="1"/>
    <col min="12295" max="12297" width="0" style="355" hidden="1" customWidth="1"/>
    <col min="12298" max="12298" width="13.88671875" style="355" customWidth="1"/>
    <col min="12299" max="12299" width="13.6640625" style="355" customWidth="1"/>
    <col min="12300" max="12300" width="13.5546875" style="355" customWidth="1"/>
    <col min="12301" max="12301" width="10.33203125" style="355" customWidth="1"/>
    <col min="12302" max="12302" width="10.109375" style="355" customWidth="1"/>
    <col min="12303" max="12303" width="10.5546875" style="355" customWidth="1"/>
    <col min="12304" max="12306" width="0" style="355" hidden="1" customWidth="1"/>
    <col min="12307" max="12544" width="9.109375" style="355"/>
    <col min="12545" max="12545" width="84" style="355" customWidth="1"/>
    <col min="12546" max="12546" width="8.109375" style="355" customWidth="1"/>
    <col min="12547" max="12547" width="9.5546875" style="355" customWidth="1"/>
    <col min="12548" max="12548" width="14.5546875" style="355" customWidth="1"/>
    <col min="12549" max="12549" width="15" style="355" customWidth="1"/>
    <col min="12550" max="12550" width="12.44140625" style="355" customWidth="1"/>
    <col min="12551" max="12553" width="0" style="355" hidden="1" customWidth="1"/>
    <col min="12554" max="12554" width="13.88671875" style="355" customWidth="1"/>
    <col min="12555" max="12555" width="13.6640625" style="355" customWidth="1"/>
    <col min="12556" max="12556" width="13.5546875" style="355" customWidth="1"/>
    <col min="12557" max="12557" width="10.33203125" style="355" customWidth="1"/>
    <col min="12558" max="12558" width="10.109375" style="355" customWidth="1"/>
    <col min="12559" max="12559" width="10.5546875" style="355" customWidth="1"/>
    <col min="12560" max="12562" width="0" style="355" hidden="1" customWidth="1"/>
    <col min="12563" max="12800" width="9.109375" style="355"/>
    <col min="12801" max="12801" width="84" style="355" customWidth="1"/>
    <col min="12802" max="12802" width="8.109375" style="355" customWidth="1"/>
    <col min="12803" max="12803" width="9.5546875" style="355" customWidth="1"/>
    <col min="12804" max="12804" width="14.5546875" style="355" customWidth="1"/>
    <col min="12805" max="12805" width="15" style="355" customWidth="1"/>
    <col min="12806" max="12806" width="12.44140625" style="355" customWidth="1"/>
    <col min="12807" max="12809" width="0" style="355" hidden="1" customWidth="1"/>
    <col min="12810" max="12810" width="13.88671875" style="355" customWidth="1"/>
    <col min="12811" max="12811" width="13.6640625" style="355" customWidth="1"/>
    <col min="12812" max="12812" width="13.5546875" style="355" customWidth="1"/>
    <col min="12813" max="12813" width="10.33203125" style="355" customWidth="1"/>
    <col min="12814" max="12814" width="10.109375" style="355" customWidth="1"/>
    <col min="12815" max="12815" width="10.5546875" style="355" customWidth="1"/>
    <col min="12816" max="12818" width="0" style="355" hidden="1" customWidth="1"/>
    <col min="12819" max="13056" width="9.109375" style="355"/>
    <col min="13057" max="13057" width="84" style="355" customWidth="1"/>
    <col min="13058" max="13058" width="8.109375" style="355" customWidth="1"/>
    <col min="13059" max="13059" width="9.5546875" style="355" customWidth="1"/>
    <col min="13060" max="13060" width="14.5546875" style="355" customWidth="1"/>
    <col min="13061" max="13061" width="15" style="355" customWidth="1"/>
    <col min="13062" max="13062" width="12.44140625" style="355" customWidth="1"/>
    <col min="13063" max="13065" width="0" style="355" hidden="1" customWidth="1"/>
    <col min="13066" max="13066" width="13.88671875" style="355" customWidth="1"/>
    <col min="13067" max="13067" width="13.6640625" style="355" customWidth="1"/>
    <col min="13068" max="13068" width="13.5546875" style="355" customWidth="1"/>
    <col min="13069" max="13069" width="10.33203125" style="355" customWidth="1"/>
    <col min="13070" max="13070" width="10.109375" style="355" customWidth="1"/>
    <col min="13071" max="13071" width="10.5546875" style="355" customWidth="1"/>
    <col min="13072" max="13074" width="0" style="355" hidden="1" customWidth="1"/>
    <col min="13075" max="13312" width="9.109375" style="355"/>
    <col min="13313" max="13313" width="84" style="355" customWidth="1"/>
    <col min="13314" max="13314" width="8.109375" style="355" customWidth="1"/>
    <col min="13315" max="13315" width="9.5546875" style="355" customWidth="1"/>
    <col min="13316" max="13316" width="14.5546875" style="355" customWidth="1"/>
    <col min="13317" max="13317" width="15" style="355" customWidth="1"/>
    <col min="13318" max="13318" width="12.44140625" style="355" customWidth="1"/>
    <col min="13319" max="13321" width="0" style="355" hidden="1" customWidth="1"/>
    <col min="13322" max="13322" width="13.88671875" style="355" customWidth="1"/>
    <col min="13323" max="13323" width="13.6640625" style="355" customWidth="1"/>
    <col min="13324" max="13324" width="13.5546875" style="355" customWidth="1"/>
    <col min="13325" max="13325" width="10.33203125" style="355" customWidth="1"/>
    <col min="13326" max="13326" width="10.109375" style="355" customWidth="1"/>
    <col min="13327" max="13327" width="10.5546875" style="355" customWidth="1"/>
    <col min="13328" max="13330" width="0" style="355" hidden="1" customWidth="1"/>
    <col min="13331" max="13568" width="9.109375" style="355"/>
    <col min="13569" max="13569" width="84" style="355" customWidth="1"/>
    <col min="13570" max="13570" width="8.109375" style="355" customWidth="1"/>
    <col min="13571" max="13571" width="9.5546875" style="355" customWidth="1"/>
    <col min="13572" max="13572" width="14.5546875" style="355" customWidth="1"/>
    <col min="13573" max="13573" width="15" style="355" customWidth="1"/>
    <col min="13574" max="13574" width="12.44140625" style="355" customWidth="1"/>
    <col min="13575" max="13577" width="0" style="355" hidden="1" customWidth="1"/>
    <col min="13578" max="13578" width="13.88671875" style="355" customWidth="1"/>
    <col min="13579" max="13579" width="13.6640625" style="355" customWidth="1"/>
    <col min="13580" max="13580" width="13.5546875" style="355" customWidth="1"/>
    <col min="13581" max="13581" width="10.33203125" style="355" customWidth="1"/>
    <col min="13582" max="13582" width="10.109375" style="355" customWidth="1"/>
    <col min="13583" max="13583" width="10.5546875" style="355" customWidth="1"/>
    <col min="13584" max="13586" width="0" style="355" hidden="1" customWidth="1"/>
    <col min="13587" max="13824" width="9.109375" style="355"/>
    <col min="13825" max="13825" width="84" style="355" customWidth="1"/>
    <col min="13826" max="13826" width="8.109375" style="355" customWidth="1"/>
    <col min="13827" max="13827" width="9.5546875" style="355" customWidth="1"/>
    <col min="13828" max="13828" width="14.5546875" style="355" customWidth="1"/>
    <col min="13829" max="13829" width="15" style="355" customWidth="1"/>
    <col min="13830" max="13830" width="12.44140625" style="355" customWidth="1"/>
    <col min="13831" max="13833" width="0" style="355" hidden="1" customWidth="1"/>
    <col min="13834" max="13834" width="13.88671875" style="355" customWidth="1"/>
    <col min="13835" max="13835" width="13.6640625" style="355" customWidth="1"/>
    <col min="13836" max="13836" width="13.5546875" style="355" customWidth="1"/>
    <col min="13837" max="13837" width="10.33203125" style="355" customWidth="1"/>
    <col min="13838" max="13838" width="10.109375" style="355" customWidth="1"/>
    <col min="13839" max="13839" width="10.5546875" style="355" customWidth="1"/>
    <col min="13840" max="13842" width="0" style="355" hidden="1" customWidth="1"/>
    <col min="13843" max="14080" width="9.109375" style="355"/>
    <col min="14081" max="14081" width="84" style="355" customWidth="1"/>
    <col min="14082" max="14082" width="8.109375" style="355" customWidth="1"/>
    <col min="14083" max="14083" width="9.5546875" style="355" customWidth="1"/>
    <col min="14084" max="14084" width="14.5546875" style="355" customWidth="1"/>
    <col min="14085" max="14085" width="15" style="355" customWidth="1"/>
    <col min="14086" max="14086" width="12.44140625" style="355" customWidth="1"/>
    <col min="14087" max="14089" width="0" style="355" hidden="1" customWidth="1"/>
    <col min="14090" max="14090" width="13.88671875" style="355" customWidth="1"/>
    <col min="14091" max="14091" width="13.6640625" style="355" customWidth="1"/>
    <col min="14092" max="14092" width="13.5546875" style="355" customWidth="1"/>
    <col min="14093" max="14093" width="10.33203125" style="355" customWidth="1"/>
    <col min="14094" max="14094" width="10.109375" style="355" customWidth="1"/>
    <col min="14095" max="14095" width="10.5546875" style="355" customWidth="1"/>
    <col min="14096" max="14098" width="0" style="355" hidden="1" customWidth="1"/>
    <col min="14099" max="14336" width="9.109375" style="355"/>
    <col min="14337" max="14337" width="84" style="355" customWidth="1"/>
    <col min="14338" max="14338" width="8.109375" style="355" customWidth="1"/>
    <col min="14339" max="14339" width="9.5546875" style="355" customWidth="1"/>
    <col min="14340" max="14340" width="14.5546875" style="355" customWidth="1"/>
    <col min="14341" max="14341" width="15" style="355" customWidth="1"/>
    <col min="14342" max="14342" width="12.44140625" style="355" customWidth="1"/>
    <col min="14343" max="14345" width="0" style="355" hidden="1" customWidth="1"/>
    <col min="14346" max="14346" width="13.88671875" style="355" customWidth="1"/>
    <col min="14347" max="14347" width="13.6640625" style="355" customWidth="1"/>
    <col min="14348" max="14348" width="13.5546875" style="355" customWidth="1"/>
    <col min="14349" max="14349" width="10.33203125" style="355" customWidth="1"/>
    <col min="14350" max="14350" width="10.109375" style="355" customWidth="1"/>
    <col min="14351" max="14351" width="10.5546875" style="355" customWidth="1"/>
    <col min="14352" max="14354" width="0" style="355" hidden="1" customWidth="1"/>
    <col min="14355" max="14592" width="9.109375" style="355"/>
    <col min="14593" max="14593" width="84" style="355" customWidth="1"/>
    <col min="14594" max="14594" width="8.109375" style="355" customWidth="1"/>
    <col min="14595" max="14595" width="9.5546875" style="355" customWidth="1"/>
    <col min="14596" max="14596" width="14.5546875" style="355" customWidth="1"/>
    <col min="14597" max="14597" width="15" style="355" customWidth="1"/>
    <col min="14598" max="14598" width="12.44140625" style="355" customWidth="1"/>
    <col min="14599" max="14601" width="0" style="355" hidden="1" customWidth="1"/>
    <col min="14602" max="14602" width="13.88671875" style="355" customWidth="1"/>
    <col min="14603" max="14603" width="13.6640625" style="355" customWidth="1"/>
    <col min="14604" max="14604" width="13.5546875" style="355" customWidth="1"/>
    <col min="14605" max="14605" width="10.33203125" style="355" customWidth="1"/>
    <col min="14606" max="14606" width="10.109375" style="355" customWidth="1"/>
    <col min="14607" max="14607" width="10.5546875" style="355" customWidth="1"/>
    <col min="14608" max="14610" width="0" style="355" hidden="1" customWidth="1"/>
    <col min="14611" max="14848" width="9.109375" style="355"/>
    <col min="14849" max="14849" width="84" style="355" customWidth="1"/>
    <col min="14850" max="14850" width="8.109375" style="355" customWidth="1"/>
    <col min="14851" max="14851" width="9.5546875" style="355" customWidth="1"/>
    <col min="14852" max="14852" width="14.5546875" style="355" customWidth="1"/>
    <col min="14853" max="14853" width="15" style="355" customWidth="1"/>
    <col min="14854" max="14854" width="12.44140625" style="355" customWidth="1"/>
    <col min="14855" max="14857" width="0" style="355" hidden="1" customWidth="1"/>
    <col min="14858" max="14858" width="13.88671875" style="355" customWidth="1"/>
    <col min="14859" max="14859" width="13.6640625" style="355" customWidth="1"/>
    <col min="14860" max="14860" width="13.5546875" style="355" customWidth="1"/>
    <col min="14861" max="14861" width="10.33203125" style="355" customWidth="1"/>
    <col min="14862" max="14862" width="10.109375" style="355" customWidth="1"/>
    <col min="14863" max="14863" width="10.5546875" style="355" customWidth="1"/>
    <col min="14864" max="14866" width="0" style="355" hidden="1" customWidth="1"/>
    <col min="14867" max="15104" width="9.109375" style="355"/>
    <col min="15105" max="15105" width="84" style="355" customWidth="1"/>
    <col min="15106" max="15106" width="8.109375" style="355" customWidth="1"/>
    <col min="15107" max="15107" width="9.5546875" style="355" customWidth="1"/>
    <col min="15108" max="15108" width="14.5546875" style="355" customWidth="1"/>
    <col min="15109" max="15109" width="15" style="355" customWidth="1"/>
    <col min="15110" max="15110" width="12.44140625" style="355" customWidth="1"/>
    <col min="15111" max="15113" width="0" style="355" hidden="1" customWidth="1"/>
    <col min="15114" max="15114" width="13.88671875" style="355" customWidth="1"/>
    <col min="15115" max="15115" width="13.6640625" style="355" customWidth="1"/>
    <col min="15116" max="15116" width="13.5546875" style="355" customWidth="1"/>
    <col min="15117" max="15117" width="10.33203125" style="355" customWidth="1"/>
    <col min="15118" max="15118" width="10.109375" style="355" customWidth="1"/>
    <col min="15119" max="15119" width="10.5546875" style="355" customWidth="1"/>
    <col min="15120" max="15122" width="0" style="355" hidden="1" customWidth="1"/>
    <col min="15123" max="15360" width="9.109375" style="355"/>
    <col min="15361" max="15361" width="84" style="355" customWidth="1"/>
    <col min="15362" max="15362" width="8.109375" style="355" customWidth="1"/>
    <col min="15363" max="15363" width="9.5546875" style="355" customWidth="1"/>
    <col min="15364" max="15364" width="14.5546875" style="355" customWidth="1"/>
    <col min="15365" max="15365" width="15" style="355" customWidth="1"/>
    <col min="15366" max="15366" width="12.44140625" style="355" customWidth="1"/>
    <col min="15367" max="15369" width="0" style="355" hidden="1" customWidth="1"/>
    <col min="15370" max="15370" width="13.88671875" style="355" customWidth="1"/>
    <col min="15371" max="15371" width="13.6640625" style="355" customWidth="1"/>
    <col min="15372" max="15372" width="13.5546875" style="355" customWidth="1"/>
    <col min="15373" max="15373" width="10.33203125" style="355" customWidth="1"/>
    <col min="15374" max="15374" width="10.109375" style="355" customWidth="1"/>
    <col min="15375" max="15375" width="10.5546875" style="355" customWidth="1"/>
    <col min="15376" max="15378" width="0" style="355" hidden="1" customWidth="1"/>
    <col min="15379" max="15616" width="9.109375" style="355"/>
    <col min="15617" max="15617" width="84" style="355" customWidth="1"/>
    <col min="15618" max="15618" width="8.109375" style="355" customWidth="1"/>
    <col min="15619" max="15619" width="9.5546875" style="355" customWidth="1"/>
    <col min="15620" max="15620" width="14.5546875" style="355" customWidth="1"/>
    <col min="15621" max="15621" width="15" style="355" customWidth="1"/>
    <col min="15622" max="15622" width="12.44140625" style="355" customWidth="1"/>
    <col min="15623" max="15625" width="0" style="355" hidden="1" customWidth="1"/>
    <col min="15626" max="15626" width="13.88671875" style="355" customWidth="1"/>
    <col min="15627" max="15627" width="13.6640625" style="355" customWidth="1"/>
    <col min="15628" max="15628" width="13.5546875" style="355" customWidth="1"/>
    <col min="15629" max="15629" width="10.33203125" style="355" customWidth="1"/>
    <col min="15630" max="15630" width="10.109375" style="355" customWidth="1"/>
    <col min="15631" max="15631" width="10.5546875" style="355" customWidth="1"/>
    <col min="15632" max="15634" width="0" style="355" hidden="1" customWidth="1"/>
    <col min="15635" max="15872" width="9.109375" style="355"/>
    <col min="15873" max="15873" width="84" style="355" customWidth="1"/>
    <col min="15874" max="15874" width="8.109375" style="355" customWidth="1"/>
    <col min="15875" max="15875" width="9.5546875" style="355" customWidth="1"/>
    <col min="15876" max="15876" width="14.5546875" style="355" customWidth="1"/>
    <col min="15877" max="15877" width="15" style="355" customWidth="1"/>
    <col min="15878" max="15878" width="12.44140625" style="355" customWidth="1"/>
    <col min="15879" max="15881" width="0" style="355" hidden="1" customWidth="1"/>
    <col min="15882" max="15882" width="13.88671875" style="355" customWidth="1"/>
    <col min="15883" max="15883" width="13.6640625" style="355" customWidth="1"/>
    <col min="15884" max="15884" width="13.5546875" style="355" customWidth="1"/>
    <col min="15885" max="15885" width="10.33203125" style="355" customWidth="1"/>
    <col min="15886" max="15886" width="10.109375" style="355" customWidth="1"/>
    <col min="15887" max="15887" width="10.5546875" style="355" customWidth="1"/>
    <col min="15888" max="15890" width="0" style="355" hidden="1" customWidth="1"/>
    <col min="15891" max="16128" width="9.109375" style="355"/>
    <col min="16129" max="16129" width="84" style="355" customWidth="1"/>
    <col min="16130" max="16130" width="8.109375" style="355" customWidth="1"/>
    <col min="16131" max="16131" width="9.5546875" style="355" customWidth="1"/>
    <col min="16132" max="16132" width="14.5546875" style="355" customWidth="1"/>
    <col min="16133" max="16133" width="15" style="355" customWidth="1"/>
    <col min="16134" max="16134" width="12.44140625" style="355" customWidth="1"/>
    <col min="16135" max="16137" width="0" style="355" hidden="1" customWidth="1"/>
    <col min="16138" max="16138" width="13.88671875" style="355" customWidth="1"/>
    <col min="16139" max="16139" width="13.6640625" style="355" customWidth="1"/>
    <col min="16140" max="16140" width="13.5546875" style="355" customWidth="1"/>
    <col min="16141" max="16141" width="10.33203125" style="355" customWidth="1"/>
    <col min="16142" max="16142" width="10.109375" style="355" customWidth="1"/>
    <col min="16143" max="16143" width="10.5546875" style="355" customWidth="1"/>
    <col min="16144" max="16146" width="0" style="355" hidden="1" customWidth="1"/>
    <col min="16147" max="16384" width="9.109375" style="355"/>
  </cols>
  <sheetData>
    <row r="1" spans="1:18" ht="17.399999999999999" x14ac:dyDescent="0.3">
      <c r="A1" s="353" t="s">
        <v>513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4"/>
      <c r="Q1" s="355"/>
      <c r="R1" s="355"/>
    </row>
    <row r="2" spans="1:18" ht="17.399999999999999" x14ac:dyDescent="0.3">
      <c r="A2" s="353" t="s">
        <v>514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4"/>
      <c r="Q2" s="355"/>
      <c r="R2" s="355"/>
    </row>
    <row r="3" spans="1:18" ht="16.2" thickBot="1" x14ac:dyDescent="0.35">
      <c r="A3" s="356"/>
      <c r="B3" s="356"/>
      <c r="C3" s="356"/>
      <c r="D3" s="356"/>
      <c r="E3" s="356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</row>
    <row r="4" spans="1:18" s="364" customFormat="1" ht="37.5" customHeight="1" x14ac:dyDescent="0.3">
      <c r="A4" s="358" t="s">
        <v>515</v>
      </c>
      <c r="B4" s="359" t="s">
        <v>516</v>
      </c>
      <c r="C4" s="359" t="s">
        <v>517</v>
      </c>
      <c r="D4" s="360" t="s">
        <v>518</v>
      </c>
      <c r="E4" s="360"/>
      <c r="F4" s="360"/>
      <c r="G4" s="360" t="s">
        <v>519</v>
      </c>
      <c r="H4" s="360"/>
      <c r="I4" s="360"/>
      <c r="J4" s="360" t="s">
        <v>520</v>
      </c>
      <c r="K4" s="361"/>
      <c r="L4" s="361"/>
      <c r="M4" s="360" t="s">
        <v>521</v>
      </c>
      <c r="N4" s="361"/>
      <c r="O4" s="362"/>
      <c r="P4" s="363" t="s">
        <v>522</v>
      </c>
      <c r="Q4" s="361"/>
      <c r="R4" s="362"/>
    </row>
    <row r="5" spans="1:18" s="364" customFormat="1" x14ac:dyDescent="0.3">
      <c r="A5" s="365"/>
      <c r="B5" s="366"/>
      <c r="C5" s="367"/>
      <c r="D5" s="368" t="s">
        <v>523</v>
      </c>
      <c r="E5" s="369" t="s">
        <v>524</v>
      </c>
      <c r="F5" s="370"/>
      <c r="G5" s="368" t="s">
        <v>523</v>
      </c>
      <c r="H5" s="369" t="s">
        <v>524</v>
      </c>
      <c r="I5" s="370"/>
      <c r="J5" s="368" t="s">
        <v>523</v>
      </c>
      <c r="K5" s="369" t="s">
        <v>524</v>
      </c>
      <c r="L5" s="370"/>
      <c r="M5" s="368" t="s">
        <v>523</v>
      </c>
      <c r="N5" s="369" t="s">
        <v>524</v>
      </c>
      <c r="O5" s="371"/>
      <c r="P5" s="372" t="s">
        <v>523</v>
      </c>
      <c r="Q5" s="369" t="s">
        <v>524</v>
      </c>
      <c r="R5" s="371"/>
    </row>
    <row r="6" spans="1:18" s="364" customFormat="1" ht="78.599999999999994" thickBot="1" x14ac:dyDescent="0.35">
      <c r="A6" s="373"/>
      <c r="B6" s="374"/>
      <c r="C6" s="375"/>
      <c r="D6" s="375"/>
      <c r="E6" s="376" t="s">
        <v>525</v>
      </c>
      <c r="F6" s="376" t="s">
        <v>526</v>
      </c>
      <c r="G6" s="375"/>
      <c r="H6" s="376" t="s">
        <v>525</v>
      </c>
      <c r="I6" s="376" t="s">
        <v>526</v>
      </c>
      <c r="J6" s="375"/>
      <c r="K6" s="376" t="s">
        <v>525</v>
      </c>
      <c r="L6" s="376" t="s">
        <v>526</v>
      </c>
      <c r="M6" s="375"/>
      <c r="N6" s="376" t="s">
        <v>525</v>
      </c>
      <c r="O6" s="377" t="s">
        <v>526</v>
      </c>
      <c r="P6" s="378"/>
      <c r="Q6" s="376" t="s">
        <v>525</v>
      </c>
      <c r="R6" s="377" t="s">
        <v>526</v>
      </c>
    </row>
    <row r="7" spans="1:18" s="364" customFormat="1" x14ac:dyDescent="0.3">
      <c r="A7" s="379">
        <v>1</v>
      </c>
      <c r="B7" s="380">
        <v>2</v>
      </c>
      <c r="C7" s="380">
        <v>3</v>
      </c>
      <c r="D7" s="380">
        <v>4</v>
      </c>
      <c r="E7" s="380">
        <v>5</v>
      </c>
      <c r="F7" s="380">
        <v>6</v>
      </c>
      <c r="G7" s="380"/>
      <c r="H7" s="380"/>
      <c r="I7" s="380"/>
      <c r="J7" s="380">
        <v>7</v>
      </c>
      <c r="K7" s="380">
        <v>8</v>
      </c>
      <c r="L7" s="380">
        <v>9</v>
      </c>
      <c r="M7" s="380">
        <v>10</v>
      </c>
      <c r="N7" s="380">
        <v>11</v>
      </c>
      <c r="O7" s="381">
        <v>12</v>
      </c>
      <c r="P7" s="382">
        <v>10</v>
      </c>
      <c r="Q7" s="380">
        <v>11</v>
      </c>
      <c r="R7" s="381">
        <v>12</v>
      </c>
    </row>
    <row r="8" spans="1:18" s="389" customFormat="1" x14ac:dyDescent="0.25">
      <c r="A8" s="383" t="s">
        <v>527</v>
      </c>
      <c r="B8" s="384" t="s">
        <v>528</v>
      </c>
      <c r="C8" s="384" t="s">
        <v>529</v>
      </c>
      <c r="D8" s="385">
        <f t="shared" ref="D8:L8" si="0">SUM(D9:D14)</f>
        <v>1373303.5099999998</v>
      </c>
      <c r="E8" s="385">
        <f t="shared" si="0"/>
        <v>1373303.5099999998</v>
      </c>
      <c r="F8" s="385">
        <f t="shared" si="0"/>
        <v>0</v>
      </c>
      <c r="G8" s="385">
        <f>SUM(G9:G14)</f>
        <v>841218.9</v>
      </c>
      <c r="H8" s="385">
        <f>SUM(H9:H14)</f>
        <v>841181.9</v>
      </c>
      <c r="I8" s="385">
        <f t="shared" si="0"/>
        <v>37</v>
      </c>
      <c r="J8" s="385">
        <f t="shared" si="0"/>
        <v>1032079.26</v>
      </c>
      <c r="K8" s="385">
        <f t="shared" si="0"/>
        <v>1032079.26</v>
      </c>
      <c r="L8" s="385">
        <f t="shared" si="0"/>
        <v>0</v>
      </c>
      <c r="M8" s="386">
        <f>SUM(J8/D8)*100</f>
        <v>75.153034451939916</v>
      </c>
      <c r="N8" s="386">
        <f>SUM(K8/E8)*100</f>
        <v>75.153034451939916</v>
      </c>
      <c r="O8" s="387">
        <v>0</v>
      </c>
      <c r="P8" s="388">
        <f>SUM(J8/G8)*100</f>
        <v>122.68854872376262</v>
      </c>
      <c r="Q8" s="386">
        <f>SUM(K8/H8)*100</f>
        <v>122.69394526915048</v>
      </c>
      <c r="R8" s="386">
        <v>0</v>
      </c>
    </row>
    <row r="9" spans="1:18" s="397" customFormat="1" ht="31.2" x14ac:dyDescent="0.25">
      <c r="A9" s="390" t="s">
        <v>530</v>
      </c>
      <c r="B9" s="391" t="s">
        <v>528</v>
      </c>
      <c r="C9" s="392" t="s">
        <v>531</v>
      </c>
      <c r="D9" s="393">
        <v>38986.21</v>
      </c>
      <c r="E9" s="393">
        <f>D9-F9</f>
        <v>38986.21</v>
      </c>
      <c r="F9" s="393"/>
      <c r="G9" s="393">
        <f>4208-102</f>
        <v>4106</v>
      </c>
      <c r="H9" s="393">
        <f>G9-I9</f>
        <v>4106</v>
      </c>
      <c r="I9" s="393"/>
      <c r="J9" s="393">
        <v>30487.35</v>
      </c>
      <c r="K9" s="393">
        <f>J9-L9</f>
        <v>30487.35</v>
      </c>
      <c r="L9" s="393"/>
      <c r="M9" s="394">
        <f t="shared" ref="M9:N14" si="1">(J9/D9)*100</f>
        <v>78.200343146974276</v>
      </c>
      <c r="N9" s="394">
        <f t="shared" si="1"/>
        <v>78.200343146974276</v>
      </c>
      <c r="O9" s="395"/>
      <c r="P9" s="396">
        <f>(J9/G9)*100</f>
        <v>742.50730638090602</v>
      </c>
      <c r="Q9" s="394">
        <f>(K9/H9)*100</f>
        <v>742.50730638090602</v>
      </c>
      <c r="R9" s="395"/>
    </row>
    <row r="10" spans="1:18" s="397" customFormat="1" ht="46.8" x14ac:dyDescent="0.25">
      <c r="A10" s="398" t="s">
        <v>532</v>
      </c>
      <c r="B10" s="391" t="s">
        <v>528</v>
      </c>
      <c r="C10" s="392" t="s">
        <v>533</v>
      </c>
      <c r="D10" s="393">
        <v>830181.59</v>
      </c>
      <c r="E10" s="393">
        <f t="shared" ref="E10:E57" si="2">D10-F10</f>
        <v>830181.59</v>
      </c>
      <c r="F10" s="393"/>
      <c r="G10" s="393">
        <f>657635.8-84467.5</f>
        <v>573168.30000000005</v>
      </c>
      <c r="H10" s="393">
        <f t="shared" ref="H10:H52" si="3">G10-I10</f>
        <v>573168.30000000005</v>
      </c>
      <c r="I10" s="393"/>
      <c r="J10" s="393">
        <v>678555.38</v>
      </c>
      <c r="K10" s="393">
        <f t="shared" ref="K10:K57" si="4">J10-L10</f>
        <v>678555.38</v>
      </c>
      <c r="L10" s="393"/>
      <c r="M10" s="394">
        <f t="shared" si="1"/>
        <v>81.735777831450108</v>
      </c>
      <c r="N10" s="394">
        <f t="shared" si="1"/>
        <v>81.735777831450108</v>
      </c>
      <c r="O10" s="395"/>
      <c r="P10" s="396">
        <f>(J10/G10)*100</f>
        <v>118.3867600493607</v>
      </c>
      <c r="Q10" s="394">
        <f>(K10/H10)*100</f>
        <v>118.3867600493607</v>
      </c>
      <c r="R10" s="395"/>
    </row>
    <row r="11" spans="1:18" s="397" customFormat="1" x14ac:dyDescent="0.25">
      <c r="A11" s="398" t="s">
        <v>534</v>
      </c>
      <c r="B11" s="391" t="s">
        <v>528</v>
      </c>
      <c r="C11" s="392" t="s">
        <v>535</v>
      </c>
      <c r="D11" s="393">
        <v>619.6</v>
      </c>
      <c r="E11" s="393">
        <f t="shared" si="2"/>
        <v>619.6</v>
      </c>
      <c r="F11" s="393"/>
      <c r="G11" s="393"/>
      <c r="H11" s="393"/>
      <c r="I11" s="393"/>
      <c r="J11" s="393">
        <v>253.86</v>
      </c>
      <c r="K11" s="393">
        <f t="shared" si="4"/>
        <v>253.86</v>
      </c>
      <c r="L11" s="393"/>
      <c r="M11" s="394">
        <f t="shared" si="1"/>
        <v>40.971594577146547</v>
      </c>
      <c r="N11" s="394">
        <f t="shared" si="1"/>
        <v>40.971594577146547</v>
      </c>
      <c r="O11" s="395"/>
      <c r="P11" s="396"/>
      <c r="Q11" s="394"/>
      <c r="R11" s="395"/>
    </row>
    <row r="12" spans="1:18" s="397" customFormat="1" ht="31.2" x14ac:dyDescent="0.25">
      <c r="A12" s="398" t="s">
        <v>536</v>
      </c>
      <c r="B12" s="391" t="s">
        <v>528</v>
      </c>
      <c r="C12" s="392" t="s">
        <v>537</v>
      </c>
      <c r="D12" s="393">
        <v>19996.72</v>
      </c>
      <c r="E12" s="393">
        <f t="shared" si="2"/>
        <v>19996.72</v>
      </c>
      <c r="F12" s="393"/>
      <c r="G12" s="393">
        <f>7852.3-907.2</f>
        <v>6945.1</v>
      </c>
      <c r="H12" s="393">
        <f t="shared" si="3"/>
        <v>6945.1</v>
      </c>
      <c r="I12" s="393"/>
      <c r="J12" s="393">
        <v>11109.1</v>
      </c>
      <c r="K12" s="393">
        <f t="shared" si="4"/>
        <v>11109.1</v>
      </c>
      <c r="L12" s="393"/>
      <c r="M12" s="394">
        <f t="shared" si="1"/>
        <v>55.554610956196818</v>
      </c>
      <c r="N12" s="394">
        <f t="shared" si="1"/>
        <v>55.554610956196818</v>
      </c>
      <c r="O12" s="395"/>
      <c r="P12" s="396">
        <f t="shared" ref="P12:Q14" si="5">(J12/G12)*100</f>
        <v>159.95594015924897</v>
      </c>
      <c r="Q12" s="394">
        <f t="shared" si="5"/>
        <v>159.95594015924897</v>
      </c>
      <c r="R12" s="395"/>
    </row>
    <row r="13" spans="1:18" s="397" customFormat="1" x14ac:dyDescent="0.25">
      <c r="A13" s="398" t="s">
        <v>538</v>
      </c>
      <c r="B13" s="391" t="s">
        <v>528</v>
      </c>
      <c r="C13" s="392" t="s">
        <v>539</v>
      </c>
      <c r="D13" s="393">
        <v>27492.92</v>
      </c>
      <c r="E13" s="393">
        <f t="shared" si="2"/>
        <v>27492.92</v>
      </c>
      <c r="F13" s="393"/>
      <c r="G13" s="393">
        <f>41503.8-26190.6</f>
        <v>15313.200000000004</v>
      </c>
      <c r="H13" s="393">
        <f t="shared" si="3"/>
        <v>15313.200000000004</v>
      </c>
      <c r="I13" s="393"/>
      <c r="J13" s="393"/>
      <c r="K13" s="393"/>
      <c r="L13" s="393"/>
      <c r="M13" s="394">
        <f t="shared" si="1"/>
        <v>0</v>
      </c>
      <c r="N13" s="394">
        <f t="shared" si="1"/>
        <v>0</v>
      </c>
      <c r="O13" s="395"/>
      <c r="P13" s="396">
        <f t="shared" si="5"/>
        <v>0</v>
      </c>
      <c r="Q13" s="394">
        <f t="shared" si="5"/>
        <v>0</v>
      </c>
      <c r="R13" s="395"/>
    </row>
    <row r="14" spans="1:18" s="397" customFormat="1" x14ac:dyDescent="0.25">
      <c r="A14" s="398" t="s">
        <v>540</v>
      </c>
      <c r="B14" s="391" t="s">
        <v>528</v>
      </c>
      <c r="C14" s="392" t="s">
        <v>541</v>
      </c>
      <c r="D14" s="393">
        <v>456026.47</v>
      </c>
      <c r="E14" s="393">
        <f t="shared" si="2"/>
        <v>456026.47</v>
      </c>
      <c r="F14" s="393"/>
      <c r="G14" s="393">
        <f>308152.2-66465.9</f>
        <v>241686.30000000002</v>
      </c>
      <c r="H14" s="393">
        <f t="shared" si="3"/>
        <v>241649.30000000002</v>
      </c>
      <c r="I14" s="393">
        <v>37</v>
      </c>
      <c r="J14" s="393">
        <v>311673.57</v>
      </c>
      <c r="K14" s="393">
        <f t="shared" si="4"/>
        <v>311673.57</v>
      </c>
      <c r="L14" s="393"/>
      <c r="M14" s="394">
        <f t="shared" si="1"/>
        <v>68.345499768905967</v>
      </c>
      <c r="N14" s="394">
        <f t="shared" si="1"/>
        <v>68.345499768905967</v>
      </c>
      <c r="O14" s="395"/>
      <c r="P14" s="396">
        <f t="shared" si="5"/>
        <v>128.95789707567204</v>
      </c>
      <c r="Q14" s="394">
        <f t="shared" si="5"/>
        <v>128.97764239333611</v>
      </c>
      <c r="R14" s="395">
        <f>ROUND(L14/I14*100,1)</f>
        <v>0</v>
      </c>
    </row>
    <row r="15" spans="1:18" s="397" customFormat="1" ht="31.2" x14ac:dyDescent="0.25">
      <c r="A15" s="383" t="s">
        <v>542</v>
      </c>
      <c r="B15" s="384" t="s">
        <v>543</v>
      </c>
      <c r="C15" s="384" t="s">
        <v>529</v>
      </c>
      <c r="D15" s="385">
        <f t="shared" ref="D15:L15" si="6">SUM(D16:D18)</f>
        <v>203399.9</v>
      </c>
      <c r="E15" s="385">
        <f t="shared" si="6"/>
        <v>203399.9</v>
      </c>
      <c r="F15" s="385">
        <f t="shared" si="6"/>
        <v>0</v>
      </c>
      <c r="G15" s="385">
        <f>SUM(G16:G18)</f>
        <v>566186.19999999995</v>
      </c>
      <c r="H15" s="385">
        <f>SUM(H16:H18)</f>
        <v>566186.19999999995</v>
      </c>
      <c r="I15" s="385">
        <f>SUM(I16:I18)</f>
        <v>0</v>
      </c>
      <c r="J15" s="385">
        <f t="shared" si="6"/>
        <v>51906.45</v>
      </c>
      <c r="K15" s="385">
        <f t="shared" si="6"/>
        <v>51906.45</v>
      </c>
      <c r="L15" s="385">
        <f t="shared" si="6"/>
        <v>0</v>
      </c>
      <c r="M15" s="386">
        <f>SUM(J15/D15)*100</f>
        <v>25.519407826650848</v>
      </c>
      <c r="N15" s="386">
        <f>SUM(K15/E15)*100</f>
        <v>25.519407826650848</v>
      </c>
      <c r="O15" s="387">
        <v>0</v>
      </c>
      <c r="P15" s="388">
        <f>SUM(J15/G15)*100</f>
        <v>9.1677349253655418</v>
      </c>
      <c r="Q15" s="386">
        <f>SUM(K15/H15)*100</f>
        <v>9.1677349253655418</v>
      </c>
      <c r="R15" s="387">
        <v>0</v>
      </c>
    </row>
    <row r="16" spans="1:18" s="397" customFormat="1" x14ac:dyDescent="0.25">
      <c r="A16" s="390" t="s">
        <v>544</v>
      </c>
      <c r="B16" s="391" t="s">
        <v>543</v>
      </c>
      <c r="C16" s="392" t="s">
        <v>533</v>
      </c>
      <c r="D16" s="399">
        <v>24873.8</v>
      </c>
      <c r="E16" s="393">
        <f t="shared" si="2"/>
        <v>24873.8</v>
      </c>
      <c r="F16" s="399"/>
      <c r="G16" s="399">
        <f>699913.7-155694.1</f>
        <v>544219.6</v>
      </c>
      <c r="H16" s="393">
        <f t="shared" si="3"/>
        <v>544219.6</v>
      </c>
      <c r="I16" s="399"/>
      <c r="J16" s="393">
        <v>20396.84</v>
      </c>
      <c r="K16" s="393">
        <f t="shared" si="4"/>
        <v>20396.84</v>
      </c>
      <c r="L16" s="393"/>
      <c r="M16" s="394">
        <f t="shared" ref="M16:N18" si="7">(J16/D16)*100</f>
        <v>82.001302575400629</v>
      </c>
      <c r="N16" s="394">
        <f t="shared" si="7"/>
        <v>82.001302575400629</v>
      </c>
      <c r="O16" s="395"/>
      <c r="P16" s="396">
        <f>(J16/G16)*100</f>
        <v>3.7479061761097916</v>
      </c>
      <c r="Q16" s="394">
        <f>(K16/H16)*100</f>
        <v>3.7479061761097916</v>
      </c>
      <c r="R16" s="395"/>
    </row>
    <row r="17" spans="1:18" s="397" customFormat="1" ht="31.2" x14ac:dyDescent="0.25">
      <c r="A17" s="390" t="s">
        <v>545</v>
      </c>
      <c r="B17" s="391" t="s">
        <v>543</v>
      </c>
      <c r="C17" s="392" t="s">
        <v>546</v>
      </c>
      <c r="D17" s="399">
        <v>154495.9</v>
      </c>
      <c r="E17" s="393">
        <f t="shared" si="2"/>
        <v>154495.9</v>
      </c>
      <c r="F17" s="399"/>
      <c r="G17" s="399"/>
      <c r="H17" s="393"/>
      <c r="I17" s="399"/>
      <c r="J17" s="393">
        <v>31509.61</v>
      </c>
      <c r="K17" s="393">
        <f t="shared" si="4"/>
        <v>31509.61</v>
      </c>
      <c r="L17" s="393"/>
      <c r="M17" s="394">
        <f t="shared" si="7"/>
        <v>20.3951108087658</v>
      </c>
      <c r="N17" s="394">
        <f t="shared" si="7"/>
        <v>20.3951108087658</v>
      </c>
      <c r="O17" s="395"/>
      <c r="P17" s="396"/>
      <c r="Q17" s="394"/>
      <c r="R17" s="395"/>
    </row>
    <row r="18" spans="1:18" s="397" customFormat="1" ht="31.2" x14ac:dyDescent="0.25">
      <c r="A18" s="390" t="s">
        <v>547</v>
      </c>
      <c r="B18" s="391" t="s">
        <v>543</v>
      </c>
      <c r="C18" s="392" t="s">
        <v>548</v>
      </c>
      <c r="D18" s="399">
        <v>24030.2</v>
      </c>
      <c r="E18" s="393">
        <f t="shared" si="2"/>
        <v>24030.2</v>
      </c>
      <c r="F18" s="399"/>
      <c r="G18" s="399">
        <f>29154.7-7188.1</f>
        <v>21966.6</v>
      </c>
      <c r="H18" s="393">
        <f t="shared" si="3"/>
        <v>21966.6</v>
      </c>
      <c r="I18" s="399"/>
      <c r="J18" s="393"/>
      <c r="K18" s="393">
        <f t="shared" si="4"/>
        <v>0</v>
      </c>
      <c r="L18" s="393"/>
      <c r="M18" s="394">
        <f t="shared" si="7"/>
        <v>0</v>
      </c>
      <c r="N18" s="394">
        <f t="shared" si="7"/>
        <v>0</v>
      </c>
      <c r="O18" s="395"/>
      <c r="P18" s="396">
        <f>(J18/G18)*100</f>
        <v>0</v>
      </c>
      <c r="Q18" s="394">
        <f>(K18/H18)*100</f>
        <v>0</v>
      </c>
      <c r="R18" s="395"/>
    </row>
    <row r="19" spans="1:18" s="397" customFormat="1" x14ac:dyDescent="0.25">
      <c r="A19" s="383" t="s">
        <v>549</v>
      </c>
      <c r="B19" s="384" t="s">
        <v>533</v>
      </c>
      <c r="C19" s="384" t="s">
        <v>529</v>
      </c>
      <c r="D19" s="385">
        <f>SUM(D20:D25)</f>
        <v>1461140.6800000002</v>
      </c>
      <c r="E19" s="385">
        <f t="shared" ref="E19:L19" si="8">SUM(E20:E25)</f>
        <v>1302730.9100000001</v>
      </c>
      <c r="F19" s="385">
        <f t="shared" si="8"/>
        <v>158409.76999999999</v>
      </c>
      <c r="G19" s="385">
        <f t="shared" si="8"/>
        <v>18852.300000000003</v>
      </c>
      <c r="H19" s="385">
        <f t="shared" si="8"/>
        <v>13451.300000000001</v>
      </c>
      <c r="I19" s="385">
        <f t="shared" si="8"/>
        <v>5401</v>
      </c>
      <c r="J19" s="385">
        <f t="shared" si="8"/>
        <v>1068089.8400000001</v>
      </c>
      <c r="K19" s="385">
        <f t="shared" si="8"/>
        <v>939663.6</v>
      </c>
      <c r="L19" s="385">
        <f t="shared" si="8"/>
        <v>88324.800000000003</v>
      </c>
      <c r="M19" s="386">
        <f>SUM(J19/D19)*100</f>
        <v>73.099726441125441</v>
      </c>
      <c r="N19" s="386">
        <f>SUM(K19/E19)*100</f>
        <v>72.130291281719863</v>
      </c>
      <c r="O19" s="386">
        <f>SUM(L19/F19)*100</f>
        <v>55.75716699796989</v>
      </c>
      <c r="P19" s="388">
        <f>SUM(J19/G19)*100</f>
        <v>5665.5678087023862</v>
      </c>
      <c r="Q19" s="386">
        <f>SUM(K19/H19)*100</f>
        <v>6985.6712734085177</v>
      </c>
      <c r="R19" s="387"/>
    </row>
    <row r="20" spans="1:18" s="407" customFormat="1" x14ac:dyDescent="0.25">
      <c r="A20" s="400" t="s">
        <v>550</v>
      </c>
      <c r="B20" s="401" t="s">
        <v>533</v>
      </c>
      <c r="C20" s="401" t="s">
        <v>528</v>
      </c>
      <c r="D20" s="402">
        <v>898.01</v>
      </c>
      <c r="E20" s="393">
        <f t="shared" si="2"/>
        <v>898.01</v>
      </c>
      <c r="F20" s="402"/>
      <c r="G20" s="402"/>
      <c r="H20" s="402"/>
      <c r="I20" s="402"/>
      <c r="J20" s="402">
        <v>615.59</v>
      </c>
      <c r="K20" s="393"/>
      <c r="L20" s="402"/>
      <c r="M20" s="394">
        <f t="shared" ref="M20:O25" si="9">(J20/D20)*100</f>
        <v>68.550461576151719</v>
      </c>
      <c r="N20" s="394">
        <f t="shared" si="9"/>
        <v>0</v>
      </c>
      <c r="O20" s="403"/>
      <c r="P20" s="404"/>
      <c r="Q20" s="405"/>
      <c r="R20" s="406"/>
    </row>
    <row r="21" spans="1:18" s="397" customFormat="1" x14ac:dyDescent="0.25">
      <c r="A21" s="398" t="s">
        <v>551</v>
      </c>
      <c r="B21" s="391" t="s">
        <v>533</v>
      </c>
      <c r="C21" s="392" t="s">
        <v>535</v>
      </c>
      <c r="D21" s="393">
        <v>58040.3</v>
      </c>
      <c r="E21" s="393">
        <f t="shared" si="2"/>
        <v>58040.3</v>
      </c>
      <c r="F21" s="393"/>
      <c r="G21" s="393">
        <f>2583.6</f>
        <v>2583.6</v>
      </c>
      <c r="H21" s="393">
        <f t="shared" si="3"/>
        <v>2583.6</v>
      </c>
      <c r="I21" s="393"/>
      <c r="J21" s="393">
        <v>39485.85</v>
      </c>
      <c r="K21" s="393"/>
      <c r="L21" s="393"/>
      <c r="M21" s="394">
        <f t="shared" si="9"/>
        <v>68.031781365706237</v>
      </c>
      <c r="N21" s="394">
        <f t="shared" si="9"/>
        <v>0</v>
      </c>
      <c r="O21" s="395"/>
      <c r="P21" s="396">
        <f t="shared" ref="P21:Q25" si="10">(J21/G21)*100</f>
        <v>1528.3267533673943</v>
      </c>
      <c r="Q21" s="394">
        <f t="shared" si="10"/>
        <v>0</v>
      </c>
      <c r="R21" s="395"/>
    </row>
    <row r="22" spans="1:18" s="397" customFormat="1" x14ac:dyDescent="0.25">
      <c r="A22" s="398" t="s">
        <v>552</v>
      </c>
      <c r="B22" s="391" t="s">
        <v>533</v>
      </c>
      <c r="C22" s="392" t="s">
        <v>553</v>
      </c>
      <c r="D22" s="393">
        <v>455955</v>
      </c>
      <c r="E22" s="393">
        <f t="shared" si="2"/>
        <v>455955</v>
      </c>
      <c r="F22" s="393"/>
      <c r="G22" s="393">
        <f>10534-5133</f>
        <v>5401</v>
      </c>
      <c r="H22" s="393">
        <f t="shared" si="3"/>
        <v>0</v>
      </c>
      <c r="I22" s="393">
        <f>10534-5133</f>
        <v>5401</v>
      </c>
      <c r="J22" s="393">
        <v>372913.02</v>
      </c>
      <c r="K22" s="393">
        <f t="shared" si="4"/>
        <v>372913.02</v>
      </c>
      <c r="L22" s="393"/>
      <c r="M22" s="394">
        <f t="shared" si="9"/>
        <v>81.787242162055477</v>
      </c>
      <c r="N22" s="394">
        <f t="shared" si="9"/>
        <v>81.787242162055477</v>
      </c>
      <c r="O22" s="395"/>
      <c r="P22" s="396">
        <f t="shared" si="10"/>
        <v>6904.5180522125538</v>
      </c>
      <c r="Q22" s="394">
        <v>0</v>
      </c>
      <c r="R22" s="395">
        <f>ROUND(L22/I22*100,1)</f>
        <v>0</v>
      </c>
    </row>
    <row r="23" spans="1:18" s="397" customFormat="1" x14ac:dyDescent="0.25">
      <c r="A23" s="398" t="s">
        <v>554</v>
      </c>
      <c r="B23" s="391" t="s">
        <v>533</v>
      </c>
      <c r="C23" s="392" t="s">
        <v>546</v>
      </c>
      <c r="D23" s="393">
        <v>848717.06</v>
      </c>
      <c r="E23" s="393">
        <f t="shared" si="2"/>
        <v>690307.29</v>
      </c>
      <c r="F23" s="393">
        <v>158409.76999999999</v>
      </c>
      <c r="G23" s="393"/>
      <c r="H23" s="393"/>
      <c r="I23" s="393"/>
      <c r="J23" s="393">
        <v>621424.02</v>
      </c>
      <c r="K23" s="393">
        <f t="shared" si="4"/>
        <v>533099.22</v>
      </c>
      <c r="L23" s="393">
        <v>88324.800000000003</v>
      </c>
      <c r="M23" s="394">
        <f t="shared" si="9"/>
        <v>73.219221020489442</v>
      </c>
      <c r="N23" s="394">
        <f t="shared" si="9"/>
        <v>77.226363928446986</v>
      </c>
      <c r="O23" s="394">
        <f t="shared" si="9"/>
        <v>55.75716699796989</v>
      </c>
      <c r="P23" s="396"/>
      <c r="Q23" s="394"/>
      <c r="R23" s="395"/>
    </row>
    <row r="24" spans="1:18" s="397" customFormat="1" x14ac:dyDescent="0.25">
      <c r="A24" s="398" t="s">
        <v>555</v>
      </c>
      <c r="B24" s="391" t="s">
        <v>533</v>
      </c>
      <c r="C24" s="392" t="s">
        <v>556</v>
      </c>
      <c r="D24" s="393">
        <v>10050.799999999999</v>
      </c>
      <c r="E24" s="393">
        <f t="shared" si="2"/>
        <v>10050.799999999999</v>
      </c>
      <c r="F24" s="393"/>
      <c r="G24" s="393"/>
      <c r="H24" s="393"/>
      <c r="I24" s="393"/>
      <c r="J24" s="393"/>
      <c r="K24" s="393">
        <f t="shared" si="4"/>
        <v>0</v>
      </c>
      <c r="L24" s="393"/>
      <c r="M24" s="394">
        <f t="shared" si="9"/>
        <v>0</v>
      </c>
      <c r="N24" s="394">
        <f t="shared" si="9"/>
        <v>0</v>
      </c>
      <c r="O24" s="394"/>
      <c r="P24" s="396"/>
      <c r="Q24" s="394"/>
      <c r="R24" s="395"/>
    </row>
    <row r="25" spans="1:18" s="397" customFormat="1" x14ac:dyDescent="0.25">
      <c r="A25" s="398" t="s">
        <v>557</v>
      </c>
      <c r="B25" s="391" t="s">
        <v>533</v>
      </c>
      <c r="C25" s="392" t="s">
        <v>558</v>
      </c>
      <c r="D25" s="393">
        <v>87479.51</v>
      </c>
      <c r="E25" s="393">
        <f t="shared" si="2"/>
        <v>87479.51</v>
      </c>
      <c r="F25" s="393"/>
      <c r="G25" s="393">
        <f>15316.7-4449</f>
        <v>10867.7</v>
      </c>
      <c r="H25" s="393">
        <f t="shared" si="3"/>
        <v>10867.7</v>
      </c>
      <c r="I25" s="393"/>
      <c r="J25" s="393">
        <v>33651.360000000001</v>
      </c>
      <c r="K25" s="393">
        <f t="shared" si="4"/>
        <v>33651.360000000001</v>
      </c>
      <c r="L25" s="393"/>
      <c r="M25" s="394">
        <f t="shared" si="9"/>
        <v>38.467705180333091</v>
      </c>
      <c r="N25" s="394">
        <f t="shared" si="9"/>
        <v>38.467705180333091</v>
      </c>
      <c r="O25" s="395"/>
      <c r="P25" s="396">
        <f t="shared" si="10"/>
        <v>309.64564719305827</v>
      </c>
      <c r="Q25" s="394">
        <f t="shared" si="10"/>
        <v>309.64564719305827</v>
      </c>
      <c r="R25" s="395"/>
    </row>
    <row r="26" spans="1:18" s="397" customFormat="1" x14ac:dyDescent="0.25">
      <c r="A26" s="383" t="s">
        <v>559</v>
      </c>
      <c r="B26" s="384" t="s">
        <v>535</v>
      </c>
      <c r="C26" s="384" t="s">
        <v>529</v>
      </c>
      <c r="D26" s="385">
        <f t="shared" ref="D26:L26" si="11">SUM(D27:D30)</f>
        <v>1736729.01</v>
      </c>
      <c r="E26" s="385">
        <f t="shared" si="11"/>
        <v>1087163.0900000001</v>
      </c>
      <c r="F26" s="385">
        <f t="shared" si="11"/>
        <v>649565.91999999993</v>
      </c>
      <c r="G26" s="385">
        <f>SUM(G27:G30)</f>
        <v>1419171.2999999998</v>
      </c>
      <c r="H26" s="385">
        <f>SUM(H27:H30)</f>
        <v>903762.89999999991</v>
      </c>
      <c r="I26" s="385">
        <f>SUM(I27:I30)</f>
        <v>515408.39999999997</v>
      </c>
      <c r="J26" s="385">
        <f t="shared" si="11"/>
        <v>1037604.08</v>
      </c>
      <c r="K26" s="385">
        <f t="shared" si="11"/>
        <v>694658.7</v>
      </c>
      <c r="L26" s="385">
        <f t="shared" si="11"/>
        <v>342754.93</v>
      </c>
      <c r="M26" s="386">
        <f>SUM(J26/D26)*100</f>
        <v>59.744731275030638</v>
      </c>
      <c r="N26" s="386">
        <f>SUM(K26/E26)*100</f>
        <v>63.896457338337328</v>
      </c>
      <c r="O26" s="408">
        <f>ROUND(L26/F26*100,1)</f>
        <v>52.8</v>
      </c>
      <c r="P26" s="388">
        <f>SUM(J26/G26)*100</f>
        <v>73.113378208818062</v>
      </c>
      <c r="Q26" s="386">
        <f>SUM(K26/H26)*100</f>
        <v>76.862936064315107</v>
      </c>
      <c r="R26" s="387">
        <f>SUM(L26/I26)*100</f>
        <v>66.501618910363121</v>
      </c>
    </row>
    <row r="27" spans="1:18" s="410" customFormat="1" x14ac:dyDescent="0.25">
      <c r="A27" s="409" t="s">
        <v>560</v>
      </c>
      <c r="B27" s="391" t="s">
        <v>535</v>
      </c>
      <c r="C27" s="392" t="s">
        <v>528</v>
      </c>
      <c r="D27" s="399">
        <v>796986.17</v>
      </c>
      <c r="E27" s="393">
        <f t="shared" si="2"/>
        <v>775886.17</v>
      </c>
      <c r="F27" s="399">
        <v>21100</v>
      </c>
      <c r="G27" s="399">
        <f>732293.7-208085.1</f>
        <v>524208.6</v>
      </c>
      <c r="H27" s="393">
        <f t="shared" si="3"/>
        <v>322551.5</v>
      </c>
      <c r="I27" s="399">
        <f>279086.6-77429.5</f>
        <v>201657.09999999998</v>
      </c>
      <c r="J27" s="393">
        <v>563770.59</v>
      </c>
      <c r="K27" s="393">
        <f t="shared" si="4"/>
        <v>548171.47</v>
      </c>
      <c r="L27" s="393">
        <v>15599.12</v>
      </c>
      <c r="M27" s="394">
        <f t="shared" ref="M27:O30" si="12">(J27/D27)*100</f>
        <v>70.737813430313352</v>
      </c>
      <c r="N27" s="394">
        <f t="shared" si="12"/>
        <v>70.65101701709672</v>
      </c>
      <c r="O27" s="395">
        <f t="shared" si="12"/>
        <v>73.92947867298578</v>
      </c>
      <c r="P27" s="396">
        <f t="shared" ref="P27:Q30" si="13">(J27/G27)*100</f>
        <v>107.54699369678407</v>
      </c>
      <c r="Q27" s="394">
        <f t="shared" si="13"/>
        <v>169.94851054792798</v>
      </c>
      <c r="R27" s="395">
        <f>ROUND(L27/I27*100,1)</f>
        <v>7.7</v>
      </c>
    </row>
    <row r="28" spans="1:18" s="411" customFormat="1" x14ac:dyDescent="0.25">
      <c r="A28" s="398" t="s">
        <v>561</v>
      </c>
      <c r="B28" s="391" t="s">
        <v>535</v>
      </c>
      <c r="C28" s="392" t="s">
        <v>531</v>
      </c>
      <c r="D28" s="399">
        <v>746112.64</v>
      </c>
      <c r="E28" s="393">
        <f t="shared" si="2"/>
        <v>162442.17000000004</v>
      </c>
      <c r="F28" s="399">
        <v>583670.47</v>
      </c>
      <c r="G28" s="399">
        <f>512955.2-109671.6</f>
        <v>403283.6</v>
      </c>
      <c r="H28" s="393">
        <f t="shared" si="3"/>
        <v>100385.5</v>
      </c>
      <c r="I28" s="399">
        <f>403712.7-100814.6</f>
        <v>302898.09999999998</v>
      </c>
      <c r="J28" s="393">
        <v>338587.19</v>
      </c>
      <c r="K28" s="393">
        <f t="shared" si="4"/>
        <v>43726.69</v>
      </c>
      <c r="L28" s="393">
        <v>294860.5</v>
      </c>
      <c r="M28" s="394">
        <f t="shared" si="12"/>
        <v>45.380170747408862</v>
      </c>
      <c r="N28" s="394">
        <f t="shared" si="12"/>
        <v>26.918311913710578</v>
      </c>
      <c r="O28" s="395">
        <f t="shared" si="12"/>
        <v>50.518317296401861</v>
      </c>
      <c r="P28" s="396">
        <f t="shared" si="13"/>
        <v>83.957589646591131</v>
      </c>
      <c r="Q28" s="394">
        <f t="shared" si="13"/>
        <v>43.558770938033881</v>
      </c>
      <c r="R28" s="395">
        <f>ROUND(L28/I28*100,1)</f>
        <v>97.3</v>
      </c>
    </row>
    <row r="29" spans="1:18" s="411" customFormat="1" x14ac:dyDescent="0.25">
      <c r="A29" s="398" t="s">
        <v>562</v>
      </c>
      <c r="B29" s="391" t="s">
        <v>535</v>
      </c>
      <c r="C29" s="392" t="s">
        <v>543</v>
      </c>
      <c r="D29" s="399">
        <v>193232.45</v>
      </c>
      <c r="E29" s="393">
        <f>D29-F29</f>
        <v>148437</v>
      </c>
      <c r="F29" s="399">
        <v>44795.45</v>
      </c>
      <c r="G29" s="399">
        <f>659134.5-167555.4</f>
        <v>491579.1</v>
      </c>
      <c r="H29" s="393">
        <f>G29-I29</f>
        <v>480725.89999999997</v>
      </c>
      <c r="I29" s="399">
        <f>45146.6-34293.4</f>
        <v>10853.199999999997</v>
      </c>
      <c r="J29" s="393">
        <v>135055.85</v>
      </c>
      <c r="K29" s="393">
        <f>J29-L29</f>
        <v>102760.54000000001</v>
      </c>
      <c r="L29" s="393">
        <v>32295.31</v>
      </c>
      <c r="M29" s="394">
        <f t="shared" si="12"/>
        <v>69.892944999662319</v>
      </c>
      <c r="N29" s="394">
        <f t="shared" si="12"/>
        <v>69.228386453512272</v>
      </c>
      <c r="O29" s="395">
        <f t="shared" si="12"/>
        <v>72.095067691026657</v>
      </c>
      <c r="P29" s="396">
        <f t="shared" si="13"/>
        <v>27.473879585197992</v>
      </c>
      <c r="Q29" s="394">
        <f t="shared" si="13"/>
        <v>21.376118906844841</v>
      </c>
      <c r="R29" s="395">
        <f>ROUND(L29/I29*100,1)</f>
        <v>297.60000000000002</v>
      </c>
    </row>
    <row r="30" spans="1:18" s="411" customFormat="1" x14ac:dyDescent="0.25">
      <c r="A30" s="398" t="s">
        <v>563</v>
      </c>
      <c r="B30" s="391" t="s">
        <v>535</v>
      </c>
      <c r="C30" s="392" t="s">
        <v>535</v>
      </c>
      <c r="D30" s="399">
        <v>397.75</v>
      </c>
      <c r="E30" s="393">
        <f>D30-F30</f>
        <v>397.75</v>
      </c>
      <c r="F30" s="399"/>
      <c r="G30" s="399">
        <v>100</v>
      </c>
      <c r="H30" s="393">
        <f>G30-I30</f>
        <v>100</v>
      </c>
      <c r="I30" s="399"/>
      <c r="J30" s="393">
        <v>190.45</v>
      </c>
      <c r="K30" s="393"/>
      <c r="L30" s="393"/>
      <c r="M30" s="394">
        <f t="shared" si="12"/>
        <v>47.881835323695789</v>
      </c>
      <c r="N30" s="394">
        <f t="shared" si="12"/>
        <v>0</v>
      </c>
      <c r="O30" s="395"/>
      <c r="P30" s="396">
        <f t="shared" si="13"/>
        <v>190.45</v>
      </c>
      <c r="Q30" s="394">
        <f t="shared" si="13"/>
        <v>0</v>
      </c>
      <c r="R30" s="395"/>
    </row>
    <row r="31" spans="1:18" s="411" customFormat="1" x14ac:dyDescent="0.25">
      <c r="A31" s="383" t="s">
        <v>564</v>
      </c>
      <c r="B31" s="412" t="s">
        <v>537</v>
      </c>
      <c r="C31" s="412" t="s">
        <v>529</v>
      </c>
      <c r="D31" s="385">
        <f>D32</f>
        <v>2941.18</v>
      </c>
      <c r="E31" s="385">
        <f t="shared" ref="E31:L31" si="14">E32</f>
        <v>2775</v>
      </c>
      <c r="F31" s="385">
        <f t="shared" si="14"/>
        <v>166.18</v>
      </c>
      <c r="G31" s="385">
        <f t="shared" si="14"/>
        <v>3039.8</v>
      </c>
      <c r="H31" s="385">
        <f t="shared" si="14"/>
        <v>2942</v>
      </c>
      <c r="I31" s="385">
        <f t="shared" si="14"/>
        <v>97.8</v>
      </c>
      <c r="J31" s="385">
        <f t="shared" si="14"/>
        <v>1558.2</v>
      </c>
      <c r="K31" s="385">
        <f t="shared" si="14"/>
        <v>1392.02</v>
      </c>
      <c r="L31" s="385">
        <f t="shared" si="14"/>
        <v>166.18</v>
      </c>
      <c r="M31" s="386">
        <f t="shared" ref="M31:R31" si="15">SUM(J31/D31)*100</f>
        <v>52.978736425516296</v>
      </c>
      <c r="N31" s="386">
        <f t="shared" si="15"/>
        <v>50.162882882882883</v>
      </c>
      <c r="O31" s="386">
        <f t="shared" si="15"/>
        <v>100</v>
      </c>
      <c r="P31" s="386">
        <f t="shared" si="15"/>
        <v>1.7428362532244324</v>
      </c>
      <c r="Q31" s="386">
        <f t="shared" si="15"/>
        <v>1.7050606010497242</v>
      </c>
      <c r="R31" s="386">
        <f t="shared" si="15"/>
        <v>102.24948875255623</v>
      </c>
    </row>
    <row r="32" spans="1:18" s="411" customFormat="1" x14ac:dyDescent="0.25">
      <c r="A32" s="398" t="s">
        <v>565</v>
      </c>
      <c r="B32" s="391" t="s">
        <v>537</v>
      </c>
      <c r="C32" s="392" t="s">
        <v>535</v>
      </c>
      <c r="D32" s="399">
        <v>2941.18</v>
      </c>
      <c r="E32" s="393">
        <f t="shared" si="2"/>
        <v>2775</v>
      </c>
      <c r="F32" s="399">
        <v>166.18</v>
      </c>
      <c r="G32" s="399">
        <f>3697.8-658</f>
        <v>3039.8</v>
      </c>
      <c r="H32" s="393">
        <f t="shared" si="3"/>
        <v>2942</v>
      </c>
      <c r="I32" s="399">
        <f>97.8</f>
        <v>97.8</v>
      </c>
      <c r="J32" s="393">
        <v>1558.2</v>
      </c>
      <c r="K32" s="393">
        <f>J32-L32</f>
        <v>1392.02</v>
      </c>
      <c r="L32" s="393">
        <v>166.18</v>
      </c>
      <c r="M32" s="394">
        <f>(J32/D32)*100</f>
        <v>52.978736425516296</v>
      </c>
      <c r="N32" s="394">
        <f>(K32/E32)*100</f>
        <v>50.162882882882883</v>
      </c>
      <c r="O32" s="394">
        <f>(L32/F32)*100</f>
        <v>100</v>
      </c>
      <c r="P32" s="396">
        <f>(J32/G32)*100</f>
        <v>51.259951312586352</v>
      </c>
      <c r="Q32" s="394">
        <f>(K32/H32)*100</f>
        <v>47.315431679129844</v>
      </c>
      <c r="R32" s="395">
        <f>ROUND(L32/I32*100,1)</f>
        <v>169.9</v>
      </c>
    </row>
    <row r="33" spans="1:18" s="389" customFormat="1" x14ac:dyDescent="0.25">
      <c r="A33" s="383" t="s">
        <v>566</v>
      </c>
      <c r="B33" s="384" t="s">
        <v>567</v>
      </c>
      <c r="C33" s="384" t="s">
        <v>529</v>
      </c>
      <c r="D33" s="385">
        <f t="shared" ref="D33:L33" si="16">SUM(D34:D37)</f>
        <v>6367878.8399999999</v>
      </c>
      <c r="E33" s="385">
        <f t="shared" si="16"/>
        <v>6306082.9400000004</v>
      </c>
      <c r="F33" s="385">
        <f t="shared" si="16"/>
        <v>61795.9</v>
      </c>
      <c r="G33" s="385">
        <f>SUM(G34:G37)</f>
        <v>3476736.2000000007</v>
      </c>
      <c r="H33" s="385">
        <f>SUM(H34:H37)</f>
        <v>3194888.8000000003</v>
      </c>
      <c r="I33" s="385">
        <f>SUM(I34:I37)</f>
        <v>281847.40000000002</v>
      </c>
      <c r="J33" s="385">
        <f t="shared" si="16"/>
        <v>5004941.879999999</v>
      </c>
      <c r="K33" s="385">
        <f t="shared" si="16"/>
        <v>4990069.16</v>
      </c>
      <c r="L33" s="385">
        <f t="shared" si="16"/>
        <v>14872.720000000001</v>
      </c>
      <c r="M33" s="386">
        <f>SUM(J33/D33)*100</f>
        <v>78.596688249803435</v>
      </c>
      <c r="N33" s="386">
        <f>SUM(K33/E33)*100</f>
        <v>79.131042320226769</v>
      </c>
      <c r="O33" s="408">
        <f>ROUND(L33/F33*100,1)</f>
        <v>24.1</v>
      </c>
      <c r="P33" s="388">
        <f>SUM(J33/G33)*100</f>
        <v>143.95518072380636</v>
      </c>
      <c r="Q33" s="386">
        <f>SUM(K33/H33)*100</f>
        <v>156.18913434483227</v>
      </c>
      <c r="R33" s="387">
        <f>SUM(L33/I33)*100</f>
        <v>5.2768696819626513</v>
      </c>
    </row>
    <row r="34" spans="1:18" s="397" customFormat="1" x14ac:dyDescent="0.25">
      <c r="A34" s="398" t="s">
        <v>568</v>
      </c>
      <c r="B34" s="391" t="s">
        <v>567</v>
      </c>
      <c r="C34" s="392" t="s">
        <v>528</v>
      </c>
      <c r="D34" s="399">
        <v>2229401.15</v>
      </c>
      <c r="E34" s="393">
        <f t="shared" si="2"/>
        <v>2173901.15</v>
      </c>
      <c r="F34" s="399">
        <v>55500</v>
      </c>
      <c r="G34" s="399">
        <f>1697163.5-389309.7</f>
        <v>1307853.8</v>
      </c>
      <c r="H34" s="393">
        <f t="shared" si="3"/>
        <v>1079167</v>
      </c>
      <c r="I34" s="399">
        <f>234919.8-6233</f>
        <v>228686.8</v>
      </c>
      <c r="J34" s="393">
        <v>1673383.63</v>
      </c>
      <c r="K34" s="393">
        <f t="shared" si="4"/>
        <v>1661497.46</v>
      </c>
      <c r="L34" s="393">
        <v>11886.17</v>
      </c>
      <c r="M34" s="394">
        <f t="shared" ref="M34:O37" si="17">(J34/D34)*100</f>
        <v>75.059781412600415</v>
      </c>
      <c r="N34" s="394">
        <f t="shared" si="17"/>
        <v>76.429301304707437</v>
      </c>
      <c r="O34" s="395">
        <f t="shared" si="17"/>
        <v>21.41652252252252</v>
      </c>
      <c r="P34" s="396">
        <f t="shared" ref="P34:Q37" si="18">(J34/G34)*100</f>
        <v>127.94882960159613</v>
      </c>
      <c r="Q34" s="394">
        <f t="shared" si="18"/>
        <v>153.96110703904029</v>
      </c>
      <c r="R34" s="395">
        <f>ROUND(L34/I34*100,1)</f>
        <v>5.2</v>
      </c>
    </row>
    <row r="35" spans="1:18" s="397" customFormat="1" x14ac:dyDescent="0.25">
      <c r="A35" s="398" t="s">
        <v>569</v>
      </c>
      <c r="B35" s="391" t="s">
        <v>567</v>
      </c>
      <c r="C35" s="392" t="s">
        <v>531</v>
      </c>
      <c r="D35" s="399">
        <v>3956468.2</v>
      </c>
      <c r="E35" s="393">
        <f t="shared" si="2"/>
        <v>3950172.3000000003</v>
      </c>
      <c r="F35" s="399">
        <v>6295.9</v>
      </c>
      <c r="G35" s="399">
        <f>2792394.5-742107.9</f>
        <v>2050286.6</v>
      </c>
      <c r="H35" s="393">
        <f t="shared" si="3"/>
        <v>1997126</v>
      </c>
      <c r="I35" s="399">
        <f>69262.6-16102</f>
        <v>53160.600000000006</v>
      </c>
      <c r="J35" s="393">
        <v>3188233.06</v>
      </c>
      <c r="K35" s="393">
        <f t="shared" si="4"/>
        <v>3185246.5100000002</v>
      </c>
      <c r="L35" s="393">
        <v>2986.55</v>
      </c>
      <c r="M35" s="394">
        <f t="shared" si="17"/>
        <v>80.582805139189546</v>
      </c>
      <c r="N35" s="394">
        <f t="shared" si="17"/>
        <v>80.63563480509444</v>
      </c>
      <c r="O35" s="395">
        <f t="shared" si="17"/>
        <v>47.436426880986041</v>
      </c>
      <c r="P35" s="396">
        <f t="shared" si="18"/>
        <v>155.5018239888999</v>
      </c>
      <c r="Q35" s="394">
        <f t="shared" si="18"/>
        <v>159.49151480677733</v>
      </c>
      <c r="R35" s="395">
        <f>ROUND(L35/I35*100,1)</f>
        <v>5.6</v>
      </c>
    </row>
    <row r="36" spans="1:18" s="397" customFormat="1" x14ac:dyDescent="0.25">
      <c r="A36" s="398" t="s">
        <v>570</v>
      </c>
      <c r="B36" s="391" t="s">
        <v>567</v>
      </c>
      <c r="C36" s="392" t="s">
        <v>567</v>
      </c>
      <c r="D36" s="399">
        <v>106833.37</v>
      </c>
      <c r="E36" s="393">
        <f t="shared" si="2"/>
        <v>106833.37</v>
      </c>
      <c r="F36" s="399"/>
      <c r="G36" s="399">
        <f>75136.9-1221.3</f>
        <v>73915.599999999991</v>
      </c>
      <c r="H36" s="393">
        <f t="shared" si="3"/>
        <v>73915.599999999991</v>
      </c>
      <c r="I36" s="399"/>
      <c r="J36" s="393">
        <v>97511.35</v>
      </c>
      <c r="K36" s="393">
        <f t="shared" si="4"/>
        <v>97511.35</v>
      </c>
      <c r="L36" s="393"/>
      <c r="M36" s="394">
        <f t="shared" si="17"/>
        <v>91.274243244409504</v>
      </c>
      <c r="N36" s="394">
        <f t="shared" si="17"/>
        <v>91.274243244409504</v>
      </c>
      <c r="O36" s="395"/>
      <c r="P36" s="396">
        <f t="shared" si="18"/>
        <v>131.92255761977177</v>
      </c>
      <c r="Q36" s="394">
        <f t="shared" si="18"/>
        <v>131.92255761977177</v>
      </c>
      <c r="R36" s="395"/>
    </row>
    <row r="37" spans="1:18" s="389" customFormat="1" x14ac:dyDescent="0.25">
      <c r="A37" s="398" t="s">
        <v>571</v>
      </c>
      <c r="B37" s="391" t="s">
        <v>567</v>
      </c>
      <c r="C37" s="392" t="s">
        <v>546</v>
      </c>
      <c r="D37" s="399">
        <v>75176.12</v>
      </c>
      <c r="E37" s="393">
        <f t="shared" si="2"/>
        <v>75176.12</v>
      </c>
      <c r="F37" s="399"/>
      <c r="G37" s="399">
        <f>56534.5-11854.3</f>
        <v>44680.2</v>
      </c>
      <c r="H37" s="393">
        <f t="shared" si="3"/>
        <v>44680.2</v>
      </c>
      <c r="I37" s="399"/>
      <c r="J37" s="393">
        <v>45813.84</v>
      </c>
      <c r="K37" s="393">
        <f t="shared" si="4"/>
        <v>45813.84</v>
      </c>
      <c r="L37" s="393"/>
      <c r="M37" s="394">
        <f t="shared" si="17"/>
        <v>60.94201190484425</v>
      </c>
      <c r="N37" s="394">
        <f t="shared" si="17"/>
        <v>60.94201190484425</v>
      </c>
      <c r="O37" s="395"/>
      <c r="P37" s="396">
        <f t="shared" si="18"/>
        <v>102.53723125679832</v>
      </c>
      <c r="Q37" s="394">
        <f t="shared" si="18"/>
        <v>102.53723125679832</v>
      </c>
      <c r="R37" s="395"/>
    </row>
    <row r="38" spans="1:18" s="397" customFormat="1" x14ac:dyDescent="0.25">
      <c r="A38" s="383" t="s">
        <v>572</v>
      </c>
      <c r="B38" s="384" t="s">
        <v>553</v>
      </c>
      <c r="C38" s="384" t="s">
        <v>529</v>
      </c>
      <c r="D38" s="385">
        <f t="shared" ref="D38:L38" si="19">SUM(D39:D40)</f>
        <v>361292.31999999995</v>
      </c>
      <c r="E38" s="385">
        <f t="shared" si="19"/>
        <v>359569.23999999993</v>
      </c>
      <c r="F38" s="385">
        <f t="shared" si="19"/>
        <v>1723.08</v>
      </c>
      <c r="G38" s="385">
        <f t="shared" si="19"/>
        <v>189175.8</v>
      </c>
      <c r="H38" s="385">
        <f t="shared" si="19"/>
        <v>187934.8</v>
      </c>
      <c r="I38" s="385">
        <f t="shared" si="19"/>
        <v>1241</v>
      </c>
      <c r="J38" s="385">
        <f t="shared" si="19"/>
        <v>290258.49</v>
      </c>
      <c r="K38" s="385">
        <f t="shared" si="19"/>
        <v>288536.32000000001</v>
      </c>
      <c r="L38" s="385">
        <f t="shared" si="19"/>
        <v>1722.17</v>
      </c>
      <c r="M38" s="386">
        <f>SUM(J38/D38)*100</f>
        <v>80.338959322467758</v>
      </c>
      <c r="N38" s="386">
        <f>SUM(K38/E38)*100</f>
        <v>80.244995372796652</v>
      </c>
      <c r="O38" s="408">
        <f>ROUND(L38/F38*100,1)</f>
        <v>99.9</v>
      </c>
      <c r="P38" s="388">
        <f>SUM(J38/G38)*100</f>
        <v>153.43320340128074</v>
      </c>
      <c r="Q38" s="386">
        <f>SUM(K38/H38)*100</f>
        <v>153.53001147206373</v>
      </c>
      <c r="R38" s="413">
        <v>0</v>
      </c>
    </row>
    <row r="39" spans="1:18" s="397" customFormat="1" x14ac:dyDescent="0.25">
      <c r="A39" s="398" t="s">
        <v>573</v>
      </c>
      <c r="B39" s="391" t="s">
        <v>553</v>
      </c>
      <c r="C39" s="392" t="s">
        <v>528</v>
      </c>
      <c r="D39" s="399">
        <v>358496.22</v>
      </c>
      <c r="E39" s="393">
        <f t="shared" si="2"/>
        <v>356773.13999999996</v>
      </c>
      <c r="F39" s="399">
        <v>1723.08</v>
      </c>
      <c r="G39" s="399">
        <f>255896.6-68646.8</f>
        <v>187249.8</v>
      </c>
      <c r="H39" s="393">
        <f t="shared" si="3"/>
        <v>186008.8</v>
      </c>
      <c r="I39" s="399">
        <f>7777-6536</f>
        <v>1241</v>
      </c>
      <c r="J39" s="393">
        <v>287582.99</v>
      </c>
      <c r="K39" s="393">
        <f t="shared" si="4"/>
        <v>285860.82</v>
      </c>
      <c r="L39" s="393">
        <v>1722.17</v>
      </c>
      <c r="M39" s="394">
        <f>ROUND(J39/D39*100,1)</f>
        <v>80.2</v>
      </c>
      <c r="N39" s="394">
        <f>ROUND(K39/E39*100,1)</f>
        <v>80.099999999999994</v>
      </c>
      <c r="O39" s="395">
        <f>(L39/F39)*100</f>
        <v>99.947187594307877</v>
      </c>
      <c r="P39" s="396">
        <f>(J39/G39)*100</f>
        <v>153.58253520163973</v>
      </c>
      <c r="Q39" s="394">
        <f>(K39/H39)*100</f>
        <v>153.68134195801491</v>
      </c>
      <c r="R39" s="395">
        <f>ROUND(L39/I39*100,1)</f>
        <v>138.80000000000001</v>
      </c>
    </row>
    <row r="40" spans="1:18" s="397" customFormat="1" x14ac:dyDescent="0.25">
      <c r="A40" s="398" t="s">
        <v>574</v>
      </c>
      <c r="B40" s="391" t="s">
        <v>553</v>
      </c>
      <c r="C40" s="392" t="s">
        <v>533</v>
      </c>
      <c r="D40" s="399">
        <v>2796.1</v>
      </c>
      <c r="E40" s="393">
        <f t="shared" si="2"/>
        <v>2796.1</v>
      </c>
      <c r="F40" s="399"/>
      <c r="G40" s="399">
        <f>2074-148</f>
        <v>1926</v>
      </c>
      <c r="H40" s="393">
        <f t="shared" si="3"/>
        <v>1926</v>
      </c>
      <c r="I40" s="399"/>
      <c r="J40" s="393">
        <v>2675.5</v>
      </c>
      <c r="K40" s="393">
        <f t="shared" si="4"/>
        <v>2675.5</v>
      </c>
      <c r="L40" s="393"/>
      <c r="M40" s="394">
        <f>ROUND(J40/D40*100,1)</f>
        <v>95.7</v>
      </c>
      <c r="N40" s="394">
        <f>ROUND(K40/E40*100,1)</f>
        <v>95.7</v>
      </c>
      <c r="O40" s="395"/>
      <c r="P40" s="396">
        <f>(J40/G40)*100</f>
        <v>138.91484942886811</v>
      </c>
      <c r="Q40" s="394">
        <f>(K40/H40)*100</f>
        <v>138.91484942886811</v>
      </c>
      <c r="R40" s="395"/>
    </row>
    <row r="41" spans="1:18" s="410" customFormat="1" x14ac:dyDescent="0.25">
      <c r="A41" s="383" t="s">
        <v>575</v>
      </c>
      <c r="B41" s="384" t="s">
        <v>546</v>
      </c>
      <c r="C41" s="384" t="s">
        <v>529</v>
      </c>
      <c r="D41" s="385">
        <f t="shared" ref="D41:L41" si="20">SUM(D42:D47)</f>
        <v>1068258.07</v>
      </c>
      <c r="E41" s="385">
        <f t="shared" si="20"/>
        <v>1068252.2200000002</v>
      </c>
      <c r="F41" s="385">
        <f t="shared" si="20"/>
        <v>5.85</v>
      </c>
      <c r="G41" s="385">
        <f t="shared" si="20"/>
        <v>1406368.1</v>
      </c>
      <c r="H41" s="385">
        <f t="shared" si="20"/>
        <v>1402042.6</v>
      </c>
      <c r="I41" s="385">
        <f t="shared" si="20"/>
        <v>4325.5</v>
      </c>
      <c r="J41" s="385">
        <f t="shared" si="20"/>
        <v>806407.07</v>
      </c>
      <c r="K41" s="385">
        <f t="shared" si="20"/>
        <v>806401.22</v>
      </c>
      <c r="L41" s="385">
        <f t="shared" si="20"/>
        <v>5.85</v>
      </c>
      <c r="M41" s="386">
        <f>SUM(J41/D41)*100</f>
        <v>75.488039140205132</v>
      </c>
      <c r="N41" s="386">
        <f>SUM(K41/E41)*100</f>
        <v>75.487904906951641</v>
      </c>
      <c r="O41" s="386">
        <f>SUM(L41/F41)*100</f>
        <v>100</v>
      </c>
      <c r="P41" s="388">
        <f>SUM(J41/G41)*100</f>
        <v>57.339687241199499</v>
      </c>
      <c r="Q41" s="386">
        <f>SUM(K41/H41)*100</f>
        <v>57.516171049296219</v>
      </c>
      <c r="R41" s="413">
        <f>ROUND(L41/I41*100,1)</f>
        <v>0.1</v>
      </c>
    </row>
    <row r="42" spans="1:18" s="410" customFormat="1" x14ac:dyDescent="0.25">
      <c r="A42" s="398" t="s">
        <v>576</v>
      </c>
      <c r="B42" s="391" t="s">
        <v>546</v>
      </c>
      <c r="C42" s="392" t="s">
        <v>528</v>
      </c>
      <c r="D42" s="399">
        <v>311688.52</v>
      </c>
      <c r="E42" s="393">
        <f t="shared" si="2"/>
        <v>311688.52</v>
      </c>
      <c r="F42" s="399"/>
      <c r="G42" s="399">
        <f>685272.4-173578.7</f>
        <v>511693.7</v>
      </c>
      <c r="H42" s="393">
        <f t="shared" si="3"/>
        <v>511693.7</v>
      </c>
      <c r="I42" s="399"/>
      <c r="J42" s="393">
        <v>209887.02</v>
      </c>
      <c r="K42" s="393">
        <f t="shared" si="4"/>
        <v>209887.02</v>
      </c>
      <c r="L42" s="393"/>
      <c r="M42" s="394">
        <f t="shared" ref="M42:O47" si="21">(J42/D42)*100</f>
        <v>67.338707245297314</v>
      </c>
      <c r="N42" s="394">
        <f t="shared" si="21"/>
        <v>67.338707245297314</v>
      </c>
      <c r="O42" s="395"/>
      <c r="P42" s="396">
        <f t="shared" ref="P42:Q47" si="22">(J42/G42)*100</f>
        <v>41.018097350035774</v>
      </c>
      <c r="Q42" s="394">
        <f t="shared" si="22"/>
        <v>41.018097350035774</v>
      </c>
      <c r="R42" s="395"/>
    </row>
    <row r="43" spans="1:18" s="410" customFormat="1" x14ac:dyDescent="0.25">
      <c r="A43" s="398" t="s">
        <v>577</v>
      </c>
      <c r="B43" s="391" t="s">
        <v>546</v>
      </c>
      <c r="C43" s="392" t="s">
        <v>531</v>
      </c>
      <c r="D43" s="399">
        <v>375396.3</v>
      </c>
      <c r="E43" s="393">
        <f t="shared" si="2"/>
        <v>375396.3</v>
      </c>
      <c r="F43" s="399"/>
      <c r="G43" s="399">
        <f>982690.8-247510.4</f>
        <v>735180.4</v>
      </c>
      <c r="H43" s="393">
        <f t="shared" si="3"/>
        <v>735180.4</v>
      </c>
      <c r="I43" s="399"/>
      <c r="J43" s="393">
        <v>295133.08</v>
      </c>
      <c r="K43" s="393">
        <f t="shared" si="4"/>
        <v>295133.08</v>
      </c>
      <c r="L43" s="393"/>
      <c r="M43" s="394">
        <f t="shared" si="21"/>
        <v>78.619070033455316</v>
      </c>
      <c r="N43" s="394">
        <f t="shared" si="21"/>
        <v>78.619070033455316</v>
      </c>
      <c r="O43" s="395"/>
      <c r="P43" s="396">
        <f t="shared" si="22"/>
        <v>40.144307438011133</v>
      </c>
      <c r="Q43" s="394">
        <f t="shared" si="22"/>
        <v>40.144307438011133</v>
      </c>
      <c r="R43" s="395"/>
    </row>
    <row r="44" spans="1:18" s="410" customFormat="1" x14ac:dyDescent="0.25">
      <c r="A44" s="398" t="s">
        <v>578</v>
      </c>
      <c r="B44" s="391" t="s">
        <v>546</v>
      </c>
      <c r="C44" s="392" t="s">
        <v>543</v>
      </c>
      <c r="D44" s="399">
        <v>11914.8</v>
      </c>
      <c r="E44" s="393">
        <f t="shared" si="2"/>
        <v>11914.8</v>
      </c>
      <c r="F44" s="399"/>
      <c r="G44" s="399">
        <f>6462-1509</f>
        <v>4953</v>
      </c>
      <c r="H44" s="393">
        <f t="shared" si="3"/>
        <v>4953</v>
      </c>
      <c r="I44" s="399"/>
      <c r="J44" s="393">
        <v>8709.7000000000007</v>
      </c>
      <c r="K44" s="393">
        <f t="shared" si="4"/>
        <v>8709.7000000000007</v>
      </c>
      <c r="L44" s="393"/>
      <c r="M44" s="394">
        <f t="shared" si="21"/>
        <v>73.099842213045974</v>
      </c>
      <c r="N44" s="394">
        <f t="shared" si="21"/>
        <v>73.099842213045974</v>
      </c>
      <c r="O44" s="395"/>
      <c r="P44" s="396">
        <f t="shared" si="22"/>
        <v>175.84696143751265</v>
      </c>
      <c r="Q44" s="394">
        <f t="shared" si="22"/>
        <v>175.84696143751265</v>
      </c>
      <c r="R44" s="395"/>
    </row>
    <row r="45" spans="1:18" s="410" customFormat="1" x14ac:dyDescent="0.25">
      <c r="A45" s="398" t="s">
        <v>579</v>
      </c>
      <c r="B45" s="391" t="s">
        <v>546</v>
      </c>
      <c r="C45" s="392" t="s">
        <v>533</v>
      </c>
      <c r="D45" s="399">
        <v>323634.40000000002</v>
      </c>
      <c r="E45" s="393">
        <f t="shared" si="2"/>
        <v>323634.40000000002</v>
      </c>
      <c r="F45" s="399"/>
      <c r="G45" s="399">
        <f>173549-41241</f>
        <v>132308</v>
      </c>
      <c r="H45" s="393">
        <f t="shared" si="3"/>
        <v>132308</v>
      </c>
      <c r="I45" s="399"/>
      <c r="J45" s="393">
        <v>257628.79999999999</v>
      </c>
      <c r="K45" s="393">
        <f t="shared" si="4"/>
        <v>257628.79999999999</v>
      </c>
      <c r="L45" s="393"/>
      <c r="M45" s="394">
        <f t="shared" si="21"/>
        <v>79.604887490328579</v>
      </c>
      <c r="N45" s="394">
        <f t="shared" si="21"/>
        <v>79.604887490328579</v>
      </c>
      <c r="O45" s="395"/>
      <c r="P45" s="396">
        <f t="shared" si="22"/>
        <v>194.7189890256069</v>
      </c>
      <c r="Q45" s="394">
        <f t="shared" si="22"/>
        <v>194.7189890256069</v>
      </c>
      <c r="R45" s="395"/>
    </row>
    <row r="46" spans="1:18" s="410" customFormat="1" x14ac:dyDescent="0.25">
      <c r="A46" s="398" t="s">
        <v>580</v>
      </c>
      <c r="B46" s="391" t="s">
        <v>546</v>
      </c>
      <c r="C46" s="392" t="s">
        <v>567</v>
      </c>
      <c r="D46" s="399">
        <v>7129</v>
      </c>
      <c r="E46" s="393">
        <f t="shared" si="2"/>
        <v>7129</v>
      </c>
      <c r="F46" s="399"/>
      <c r="G46" s="399">
        <f>7624-2375</f>
        <v>5249</v>
      </c>
      <c r="H46" s="393">
        <f t="shared" si="3"/>
        <v>5249</v>
      </c>
      <c r="I46" s="399"/>
      <c r="J46" s="393">
        <v>5346.75</v>
      </c>
      <c r="K46" s="393">
        <f t="shared" si="4"/>
        <v>5346.75</v>
      </c>
      <c r="L46" s="393"/>
      <c r="M46" s="394">
        <f t="shared" si="21"/>
        <v>75</v>
      </c>
      <c r="N46" s="394">
        <f t="shared" si="21"/>
        <v>75</v>
      </c>
      <c r="O46" s="395"/>
      <c r="P46" s="396">
        <f t="shared" si="22"/>
        <v>101.86225947799581</v>
      </c>
      <c r="Q46" s="394">
        <f t="shared" si="22"/>
        <v>101.86225947799581</v>
      </c>
      <c r="R46" s="395"/>
    </row>
    <row r="47" spans="1:18" s="397" customFormat="1" x14ac:dyDescent="0.25">
      <c r="A47" s="398" t="s">
        <v>581</v>
      </c>
      <c r="B47" s="391" t="s">
        <v>546</v>
      </c>
      <c r="C47" s="392" t="s">
        <v>546</v>
      </c>
      <c r="D47" s="399">
        <v>38495.050000000003</v>
      </c>
      <c r="E47" s="393">
        <f t="shared" si="2"/>
        <v>38489.200000000004</v>
      </c>
      <c r="F47" s="399">
        <v>5.85</v>
      </c>
      <c r="G47" s="399">
        <f>27111.1-10127.1</f>
        <v>16984</v>
      </c>
      <c r="H47" s="393">
        <f t="shared" si="3"/>
        <v>12658.5</v>
      </c>
      <c r="I47" s="399">
        <f>4325.5</f>
        <v>4325.5</v>
      </c>
      <c r="J47" s="393">
        <v>29701.72</v>
      </c>
      <c r="K47" s="393">
        <f t="shared" si="4"/>
        <v>29695.870000000003</v>
      </c>
      <c r="L47" s="393">
        <v>5.85</v>
      </c>
      <c r="M47" s="394">
        <f t="shared" si="21"/>
        <v>77.157244892525142</v>
      </c>
      <c r="N47" s="394">
        <f t="shared" si="21"/>
        <v>77.153773006453747</v>
      </c>
      <c r="O47" s="394">
        <f t="shared" si="21"/>
        <v>100</v>
      </c>
      <c r="P47" s="396">
        <f t="shared" si="22"/>
        <v>174.88059349976447</v>
      </c>
      <c r="Q47" s="394">
        <f t="shared" si="22"/>
        <v>234.59232926492083</v>
      </c>
      <c r="R47" s="395">
        <f>ROUND(L47/I47*100,1)</f>
        <v>0.1</v>
      </c>
    </row>
    <row r="48" spans="1:18" s="397" customFormat="1" x14ac:dyDescent="0.25">
      <c r="A48" s="383" t="s">
        <v>582</v>
      </c>
      <c r="B48" s="414">
        <v>10</v>
      </c>
      <c r="C48" s="384" t="s">
        <v>529</v>
      </c>
      <c r="D48" s="385">
        <f t="shared" ref="D48:L48" si="23">SUM(D49:D52)</f>
        <v>873794.4</v>
      </c>
      <c r="E48" s="385">
        <f t="shared" si="23"/>
        <v>873794.4</v>
      </c>
      <c r="F48" s="385">
        <f>SUM(F49:F52)</f>
        <v>0</v>
      </c>
      <c r="G48" s="385">
        <f>SUM(G49:G52)</f>
        <v>585312.5</v>
      </c>
      <c r="H48" s="385">
        <f>SUM(H49:H52)</f>
        <v>585312.5</v>
      </c>
      <c r="I48" s="385">
        <f>SUM(I49:I52)</f>
        <v>0</v>
      </c>
      <c r="J48" s="385">
        <f t="shared" si="23"/>
        <v>524603.83000000007</v>
      </c>
      <c r="K48" s="385">
        <f t="shared" si="23"/>
        <v>524603.83000000007</v>
      </c>
      <c r="L48" s="385">
        <f t="shared" si="23"/>
        <v>0</v>
      </c>
      <c r="M48" s="386">
        <f>SUM(J48/D48)*100</f>
        <v>60.037444735283273</v>
      </c>
      <c r="N48" s="386">
        <f>SUM(K48/E48)*100</f>
        <v>60.037444735283273</v>
      </c>
      <c r="O48" s="415"/>
      <c r="P48" s="388">
        <f>SUM(J48/G48)*100</f>
        <v>89.62799017618795</v>
      </c>
      <c r="Q48" s="386">
        <f>SUM(K48/H48)*100</f>
        <v>89.62799017618795</v>
      </c>
      <c r="R48" s="387">
        <v>0</v>
      </c>
    </row>
    <row r="49" spans="1:18" s="397" customFormat="1" x14ac:dyDescent="0.25">
      <c r="A49" s="416" t="s">
        <v>583</v>
      </c>
      <c r="B49" s="417">
        <v>10</v>
      </c>
      <c r="C49" s="418" t="s">
        <v>528</v>
      </c>
      <c r="D49" s="399">
        <v>9172.2000000000007</v>
      </c>
      <c r="E49" s="393">
        <f t="shared" si="2"/>
        <v>9172.2000000000007</v>
      </c>
      <c r="F49" s="393"/>
      <c r="G49" s="399">
        <f>3968.4-968.4</f>
        <v>3000</v>
      </c>
      <c r="H49" s="393">
        <f t="shared" si="3"/>
        <v>3000</v>
      </c>
      <c r="I49" s="393"/>
      <c r="J49" s="393">
        <v>8163.97</v>
      </c>
      <c r="K49" s="393">
        <f t="shared" si="4"/>
        <v>8163.97</v>
      </c>
      <c r="L49" s="393"/>
      <c r="M49" s="394">
        <f t="shared" ref="M49:N57" si="24">(J49/D49)*100</f>
        <v>89.007762586947507</v>
      </c>
      <c r="N49" s="394">
        <f t="shared" si="24"/>
        <v>89.007762586947507</v>
      </c>
      <c r="O49" s="395"/>
      <c r="P49" s="396">
        <f t="shared" ref="P49:Q52" si="25">(J49/G49)*100</f>
        <v>272.13233333333335</v>
      </c>
      <c r="Q49" s="394">
        <f t="shared" si="25"/>
        <v>272.13233333333335</v>
      </c>
      <c r="R49" s="395"/>
    </row>
    <row r="50" spans="1:18" s="397" customFormat="1" x14ac:dyDescent="0.25">
      <c r="A50" s="419" t="s">
        <v>584</v>
      </c>
      <c r="B50" s="420">
        <v>10</v>
      </c>
      <c r="C50" s="391" t="s">
        <v>543</v>
      </c>
      <c r="D50" s="399">
        <v>292011.95</v>
      </c>
      <c r="E50" s="393">
        <f t="shared" si="2"/>
        <v>292011.95</v>
      </c>
      <c r="F50" s="421"/>
      <c r="G50" s="399">
        <f>213109.7</f>
        <v>213109.7</v>
      </c>
      <c r="H50" s="393">
        <f t="shared" si="3"/>
        <v>213109.7</v>
      </c>
      <c r="I50" s="421"/>
      <c r="J50" s="393">
        <v>124430.72</v>
      </c>
      <c r="K50" s="393">
        <f t="shared" si="4"/>
        <v>124430.72</v>
      </c>
      <c r="L50" s="422"/>
      <c r="M50" s="394">
        <f t="shared" si="24"/>
        <v>42.611516412256414</v>
      </c>
      <c r="N50" s="394">
        <f t="shared" si="24"/>
        <v>42.611516412256414</v>
      </c>
      <c r="O50" s="395"/>
      <c r="P50" s="396">
        <f t="shared" si="25"/>
        <v>58.388107157956668</v>
      </c>
      <c r="Q50" s="394">
        <f t="shared" si="25"/>
        <v>58.388107157956668</v>
      </c>
      <c r="R50" s="395"/>
    </row>
    <row r="51" spans="1:18" s="397" customFormat="1" x14ac:dyDescent="0.25">
      <c r="A51" s="398" t="s">
        <v>585</v>
      </c>
      <c r="B51" s="423">
        <v>10</v>
      </c>
      <c r="C51" s="392" t="s">
        <v>533</v>
      </c>
      <c r="D51" s="399">
        <v>446930.5</v>
      </c>
      <c r="E51" s="393">
        <f t="shared" si="2"/>
        <v>446930.5</v>
      </c>
      <c r="F51" s="399"/>
      <c r="G51" s="399">
        <f>321588.7-76204.7</f>
        <v>245384</v>
      </c>
      <c r="H51" s="393">
        <f t="shared" si="3"/>
        <v>245384</v>
      </c>
      <c r="I51" s="399"/>
      <c r="J51" s="393">
        <v>292574.2</v>
      </c>
      <c r="K51" s="393">
        <f t="shared" si="4"/>
        <v>292574.2</v>
      </c>
      <c r="L51" s="393"/>
      <c r="M51" s="394">
        <f t="shared" si="24"/>
        <v>65.463019418007946</v>
      </c>
      <c r="N51" s="394">
        <f t="shared" si="24"/>
        <v>65.463019418007946</v>
      </c>
      <c r="O51" s="395"/>
      <c r="P51" s="396">
        <f t="shared" si="25"/>
        <v>119.23116421608582</v>
      </c>
      <c r="Q51" s="394">
        <f t="shared" si="25"/>
        <v>119.23116421608582</v>
      </c>
      <c r="R51" s="395"/>
    </row>
    <row r="52" spans="1:18" s="397" customFormat="1" x14ac:dyDescent="0.25">
      <c r="A52" s="424" t="s">
        <v>586</v>
      </c>
      <c r="B52" s="425">
        <v>10</v>
      </c>
      <c r="C52" s="426" t="s">
        <v>537</v>
      </c>
      <c r="D52" s="427">
        <v>125679.75</v>
      </c>
      <c r="E52" s="428">
        <f t="shared" si="2"/>
        <v>125679.75</v>
      </c>
      <c r="F52" s="427"/>
      <c r="G52" s="427">
        <f>140248.3-16429.5</f>
        <v>123818.79999999999</v>
      </c>
      <c r="H52" s="428">
        <f t="shared" si="3"/>
        <v>123818.79999999999</v>
      </c>
      <c r="I52" s="427"/>
      <c r="J52" s="428">
        <v>99434.94</v>
      </c>
      <c r="K52" s="428">
        <f t="shared" si="4"/>
        <v>99434.94</v>
      </c>
      <c r="L52" s="428"/>
      <c r="M52" s="429">
        <f t="shared" si="24"/>
        <v>79.117709893598615</v>
      </c>
      <c r="N52" s="429">
        <f t="shared" si="24"/>
        <v>79.117709893598615</v>
      </c>
      <c r="O52" s="430"/>
      <c r="P52" s="396">
        <f t="shared" si="25"/>
        <v>80.30681931984482</v>
      </c>
      <c r="Q52" s="394">
        <f t="shared" si="25"/>
        <v>80.30681931984482</v>
      </c>
      <c r="R52" s="430"/>
    </row>
    <row r="53" spans="1:18" s="397" customFormat="1" x14ac:dyDescent="0.25">
      <c r="A53" s="431" t="s">
        <v>587</v>
      </c>
      <c r="B53" s="414">
        <v>11</v>
      </c>
      <c r="C53" s="384" t="s">
        <v>529</v>
      </c>
      <c r="D53" s="432">
        <f>D54+D55</f>
        <v>150904.32999999999</v>
      </c>
      <c r="E53" s="432">
        <f t="shared" ref="E53:L53" si="26">E54+E55</f>
        <v>70049.049999999988</v>
      </c>
      <c r="F53" s="432">
        <f t="shared" si="26"/>
        <v>80855.28</v>
      </c>
      <c r="G53" s="432">
        <f t="shared" si="26"/>
        <v>0</v>
      </c>
      <c r="H53" s="432">
        <f t="shared" si="26"/>
        <v>0</v>
      </c>
      <c r="I53" s="432">
        <f t="shared" si="26"/>
        <v>0</v>
      </c>
      <c r="J53" s="432">
        <f t="shared" si="26"/>
        <v>127783.56</v>
      </c>
      <c r="K53" s="432">
        <f t="shared" si="26"/>
        <v>53147.390000000007</v>
      </c>
      <c r="L53" s="432">
        <f t="shared" si="26"/>
        <v>74636.17</v>
      </c>
      <c r="M53" s="433">
        <f t="shared" si="24"/>
        <v>84.678524466461639</v>
      </c>
      <c r="N53" s="433">
        <f t="shared" si="24"/>
        <v>75.871678488145108</v>
      </c>
      <c r="O53" s="408">
        <f>ROUND(L53/F53*100,1)</f>
        <v>92.3</v>
      </c>
      <c r="P53" s="434"/>
      <c r="Q53" s="435"/>
      <c r="R53" s="436"/>
    </row>
    <row r="54" spans="1:18" s="397" customFormat="1" x14ac:dyDescent="0.25">
      <c r="A54" s="437" t="s">
        <v>588</v>
      </c>
      <c r="B54" s="438">
        <v>11</v>
      </c>
      <c r="C54" s="401" t="s">
        <v>528</v>
      </c>
      <c r="D54" s="399">
        <v>44356.85</v>
      </c>
      <c r="E54" s="428">
        <f t="shared" si="2"/>
        <v>44356.85</v>
      </c>
      <c r="F54" s="399"/>
      <c r="G54" s="399"/>
      <c r="H54" s="393"/>
      <c r="I54" s="399"/>
      <c r="J54" s="393">
        <v>32303.4</v>
      </c>
      <c r="K54" s="428">
        <f t="shared" si="4"/>
        <v>32303.4</v>
      </c>
      <c r="L54" s="393"/>
      <c r="M54" s="439">
        <f t="shared" si="24"/>
        <v>72.826181300069777</v>
      </c>
      <c r="N54" s="439">
        <f t="shared" si="24"/>
        <v>72.826181300069777</v>
      </c>
      <c r="O54" s="403"/>
      <c r="P54" s="434"/>
      <c r="Q54" s="435"/>
      <c r="R54" s="436"/>
    </row>
    <row r="55" spans="1:18" s="397" customFormat="1" x14ac:dyDescent="0.25">
      <c r="A55" s="437" t="s">
        <v>589</v>
      </c>
      <c r="B55" s="438">
        <v>11</v>
      </c>
      <c r="C55" s="401" t="s">
        <v>531</v>
      </c>
      <c r="D55" s="399">
        <v>106547.48</v>
      </c>
      <c r="E55" s="428">
        <f t="shared" si="2"/>
        <v>25692.199999999997</v>
      </c>
      <c r="F55" s="399">
        <v>80855.28</v>
      </c>
      <c r="G55" s="399"/>
      <c r="H55" s="393"/>
      <c r="I55" s="399"/>
      <c r="J55" s="393">
        <v>95480.16</v>
      </c>
      <c r="K55" s="428">
        <f t="shared" si="4"/>
        <v>20843.990000000005</v>
      </c>
      <c r="L55" s="393">
        <v>74636.17</v>
      </c>
      <c r="M55" s="439">
        <f t="shared" si="24"/>
        <v>89.612781081260678</v>
      </c>
      <c r="N55" s="439">
        <f t="shared" si="24"/>
        <v>81.129642459579202</v>
      </c>
      <c r="O55" s="403">
        <f>ROUND(L55/F55*100,1)</f>
        <v>92.3</v>
      </c>
      <c r="P55" s="434"/>
      <c r="Q55" s="435"/>
      <c r="R55" s="436"/>
    </row>
    <row r="56" spans="1:18" s="397" customFormat="1" x14ac:dyDescent="0.25">
      <c r="A56" s="431" t="s">
        <v>590</v>
      </c>
      <c r="B56" s="414">
        <v>12</v>
      </c>
      <c r="C56" s="384" t="s">
        <v>529</v>
      </c>
      <c r="D56" s="432">
        <f>D57</f>
        <v>9786.76</v>
      </c>
      <c r="E56" s="432">
        <f>E57</f>
        <v>9786.76</v>
      </c>
      <c r="F56" s="432">
        <f>F57</f>
        <v>0</v>
      </c>
      <c r="G56" s="432" t="e">
        <f>G57+#REF!</f>
        <v>#REF!</v>
      </c>
      <c r="H56" s="432" t="e">
        <f>H57+#REF!</f>
        <v>#REF!</v>
      </c>
      <c r="I56" s="432" t="e">
        <f>I57+#REF!</f>
        <v>#REF!</v>
      </c>
      <c r="J56" s="432">
        <f>J57</f>
        <v>7442.94</v>
      </c>
      <c r="K56" s="432">
        <f>K57</f>
        <v>7442.94</v>
      </c>
      <c r="L56" s="432">
        <f>L57</f>
        <v>0</v>
      </c>
      <c r="M56" s="433">
        <f t="shared" si="24"/>
        <v>76.051113953954115</v>
      </c>
      <c r="N56" s="433">
        <f t="shared" si="24"/>
        <v>76.051113953954115</v>
      </c>
      <c r="O56" s="408"/>
      <c r="P56" s="434"/>
      <c r="Q56" s="435"/>
      <c r="R56" s="436"/>
    </row>
    <row r="57" spans="1:18" s="397" customFormat="1" ht="16.2" thickBot="1" x14ac:dyDescent="0.3">
      <c r="A57" s="398" t="s">
        <v>591</v>
      </c>
      <c r="B57" s="423">
        <v>12</v>
      </c>
      <c r="C57" s="392" t="s">
        <v>531</v>
      </c>
      <c r="D57" s="399">
        <v>9786.76</v>
      </c>
      <c r="E57" s="428">
        <f t="shared" si="2"/>
        <v>9786.76</v>
      </c>
      <c r="F57" s="399"/>
      <c r="G57" s="399"/>
      <c r="H57" s="393"/>
      <c r="I57" s="399"/>
      <c r="J57" s="393">
        <v>7442.94</v>
      </c>
      <c r="K57" s="428">
        <f t="shared" si="4"/>
        <v>7442.94</v>
      </c>
      <c r="L57" s="393"/>
      <c r="M57" s="429">
        <f t="shared" si="24"/>
        <v>76.051113953954115</v>
      </c>
      <c r="N57" s="429">
        <f t="shared" si="24"/>
        <v>76.051113953954115</v>
      </c>
      <c r="O57" s="395"/>
      <c r="P57" s="434"/>
      <c r="Q57" s="435"/>
      <c r="R57" s="436"/>
    </row>
    <row r="58" spans="1:18" s="397" customFormat="1" ht="16.2" thickBot="1" x14ac:dyDescent="0.3">
      <c r="A58" s="440" t="s">
        <v>592</v>
      </c>
      <c r="B58" s="441"/>
      <c r="C58" s="441"/>
      <c r="D58" s="442">
        <f>D48+D41+D38+D33+D26+D19+D15+D8+D31+D53+D56</f>
        <v>13609428.999999998</v>
      </c>
      <c r="E58" s="442">
        <f t="shared" ref="E58:L58" si="27">E48+E41+E38+E33+E26+E19+E15+E8+E31+E53+E56</f>
        <v>12656907.020000001</v>
      </c>
      <c r="F58" s="442">
        <f t="shared" si="27"/>
        <v>952521.98</v>
      </c>
      <c r="G58" s="442" t="e">
        <f t="shared" si="27"/>
        <v>#REF!</v>
      </c>
      <c r="H58" s="442" t="e">
        <f t="shared" si="27"/>
        <v>#REF!</v>
      </c>
      <c r="I58" s="442" t="e">
        <f t="shared" si="27"/>
        <v>#REF!</v>
      </c>
      <c r="J58" s="442">
        <f t="shared" si="27"/>
        <v>9952675.5999999978</v>
      </c>
      <c r="K58" s="442">
        <f t="shared" si="27"/>
        <v>9389900.8900000006</v>
      </c>
      <c r="L58" s="442">
        <f t="shared" si="27"/>
        <v>522482.81999999995</v>
      </c>
      <c r="M58" s="443">
        <f>SUM(J58/D58)*100</f>
        <v>73.130736050718951</v>
      </c>
      <c r="N58" s="443">
        <f>SUM(K58/E58)*100</f>
        <v>74.187958204657804</v>
      </c>
      <c r="O58" s="444">
        <f>SUM(L58/F58)*100</f>
        <v>54.852573585755991</v>
      </c>
      <c r="P58" s="445" t="e">
        <f>SUM(J58/G58)*100</f>
        <v>#REF!</v>
      </c>
      <c r="Q58" s="443" t="e">
        <f>SUM(K58/H58)*100</f>
        <v>#REF!</v>
      </c>
      <c r="R58" s="444" t="e">
        <f>SUM(L58/I58)*100</f>
        <v>#REF!</v>
      </c>
    </row>
    <row r="59" spans="1:18" s="411" customFormat="1" x14ac:dyDescent="0.25">
      <c r="A59" s="356"/>
      <c r="B59" s="356"/>
      <c r="C59" s="446"/>
      <c r="D59" s="446"/>
      <c r="E59" s="447"/>
      <c r="F59" s="446"/>
      <c r="G59" s="446"/>
      <c r="H59" s="446"/>
      <c r="I59" s="446"/>
      <c r="J59" s="446"/>
      <c r="K59" s="446"/>
      <c r="L59" s="446"/>
      <c r="M59" s="448"/>
      <c r="N59" s="448"/>
      <c r="O59" s="448"/>
      <c r="P59" s="448"/>
      <c r="Q59" s="448"/>
      <c r="R59" s="448"/>
    </row>
    <row r="60" spans="1:18" x14ac:dyDescent="0.3">
      <c r="D60" s="450"/>
      <c r="F60" s="451"/>
      <c r="G60" s="451"/>
      <c r="H60" s="451"/>
      <c r="I60" s="451"/>
      <c r="J60" s="452"/>
      <c r="K60" s="451"/>
      <c r="L60" s="451"/>
      <c r="M60" s="451"/>
      <c r="N60" s="451"/>
      <c r="P60" s="451"/>
      <c r="Q60" s="451"/>
    </row>
    <row r="64" spans="1:18" x14ac:dyDescent="0.3">
      <c r="F64" s="454"/>
      <c r="G64" s="454"/>
      <c r="H64" s="454"/>
      <c r="I64" s="454"/>
      <c r="J64" s="454"/>
      <c r="K64" s="454"/>
    </row>
  </sheetData>
  <mergeCells count="20">
    <mergeCell ref="Q5:R5"/>
    <mergeCell ref="P4:R4"/>
    <mergeCell ref="D5:D6"/>
    <mergeCell ref="E5:F5"/>
    <mergeCell ref="G5:G6"/>
    <mergeCell ref="H5:I5"/>
    <mergeCell ref="J5:J6"/>
    <mergeCell ref="K5:L5"/>
    <mergeCell ref="M5:M6"/>
    <mergeCell ref="N5:O5"/>
    <mergeCell ref="P5:P6"/>
    <mergeCell ref="A1:O1"/>
    <mergeCell ref="A2:O2"/>
    <mergeCell ref="A4:A6"/>
    <mergeCell ref="B4:B6"/>
    <mergeCell ref="C4:C6"/>
    <mergeCell ref="D4:F4"/>
    <mergeCell ref="G4:I4"/>
    <mergeCell ref="J4:L4"/>
    <mergeCell ref="M4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доходы</vt:lpstr>
      <vt:lpstr>октябрь расш</vt:lpstr>
      <vt:lpstr>расходы</vt:lpstr>
      <vt:lpstr>доходы!Заголовки_для_печати</vt:lpstr>
    </vt:vector>
  </TitlesOfParts>
  <Company>Управление по финансам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Куклина Светланан Николаевна</cp:lastModifiedBy>
  <cp:lastPrinted>2012-11-16T04:49:50Z</cp:lastPrinted>
  <dcterms:created xsi:type="dcterms:W3CDTF">2007-07-04T09:57:04Z</dcterms:created>
  <dcterms:modified xsi:type="dcterms:W3CDTF">2015-02-25T05:30:18Z</dcterms:modified>
</cp:coreProperties>
</file>