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2" windowHeight="7776" activeTab="1"/>
  </bookViews>
  <sheets>
    <sheet name="доходы" sheetId="1" r:id="rId1"/>
    <sheet name="расходы " sheetId="2" r:id="rId2"/>
  </sheets>
  <definedNames>
    <definedName name="Z_953F6272_BCBA_4E2A_B324_315CAA91D0DC_.wvu.Rows" localSheetId="0" hidden="1">'доходы'!$34:$34,'доходы'!#REF!,'доходы'!#REF!,'доходы'!#REF!,'доходы'!#REF!,'доходы'!#REF!</definedName>
    <definedName name="Z_B47CF732_6E85_4D8F_B03C_89DA2ED89ADF_.wvu.Cols" localSheetId="0" hidden="1">'доходы'!#REF!</definedName>
    <definedName name="Z_C425BA00_210C_48C2_AB7C_A6B940491DCD_.wvu.Rows" localSheetId="0" hidden="1">'доходы'!$34:$34,'доходы'!#REF!,'доходы'!#REF!,'доходы'!#REF!,'доходы'!#REF!,'доходы'!#REF!</definedName>
    <definedName name="_xlnm.Print_Titles" localSheetId="0">'доходы'!$5:$6</definedName>
  </definedNames>
  <calcPr fullCalcOnLoad="1"/>
</workbook>
</file>

<file path=xl/sharedStrings.xml><?xml version="1.0" encoding="utf-8"?>
<sst xmlns="http://schemas.openxmlformats.org/spreadsheetml/2006/main" count="262" uniqueCount="171">
  <si>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</si>
  <si>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040 2 19 04000 04 0000 180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</si>
  <si>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</si>
  <si>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</si>
  <si>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Возврат остатков субсидий, субвенций и иных межбюджетных трансфертов, имеющих целевое назначение, прошлых лет </t>
  </si>
  <si>
    <t>040 2 02 0000 00 0000 151</t>
  </si>
  <si>
    <t>040 2 02 01000 00 0000 151</t>
  </si>
  <si>
    <t>040 2 02 02000 00 0000 151</t>
  </si>
  <si>
    <t>040 2 02 03000 00 0000 151</t>
  </si>
  <si>
    <t>040 2 02 04000 00 0000 151</t>
  </si>
  <si>
    <t xml:space="preserve">040 1 16 23040 04 0290 140 </t>
  </si>
  <si>
    <t>040 1 11 05024 04 0000 120</t>
  </si>
  <si>
    <t xml:space="preserve"> Д О Х О Д Ы </t>
  </si>
  <si>
    <t>Налоги на совокупный доход</t>
  </si>
  <si>
    <t xml:space="preserve">Единый налог на вмененный доход для отдельных видов деятельности </t>
  </si>
  <si>
    <t>Налоги на имущество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</si>
  <si>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</si>
  <si>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</si>
  <si>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</si>
  <si>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</si>
  <si>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Плата за негативное воздействие на окружающую среду</t>
  </si>
  <si>
    <t>Штрафы, санкции, возмещение ущерба</t>
  </si>
  <si>
    <t>В С Е Г О   Д О Х О Д О В</t>
  </si>
  <si>
    <t>КБК</t>
  </si>
  <si>
    <t xml:space="preserve">Безвозмездные поступления </t>
  </si>
  <si>
    <t>182 1 01 02000 01 0000 110</t>
  </si>
  <si>
    <t>000 1 05 00000 00 0000 000</t>
  </si>
  <si>
    <t>Налог, взимаемый в связи с применением упрощенной системы налогообложения</t>
  </si>
  <si>
    <t>182 1 05 01000 00 0000 110</t>
  </si>
  <si>
    <t>182 1 05 02000 02 0000 110</t>
  </si>
  <si>
    <t>000 1 06 00000 00 0000 000</t>
  </si>
  <si>
    <t>182 1 06 01020 04 0000 110</t>
  </si>
  <si>
    <t>Налог на имущество физических лиц, взимаемый по ставке, применяемой к объекту налогообложения, расположенному в границах городского округа</t>
  </si>
  <si>
    <t>182 1 06 04000 02 0000 110</t>
  </si>
  <si>
    <t xml:space="preserve">Транспортный налог </t>
  </si>
  <si>
    <t>182 1 06 06000 00 0000 110</t>
  </si>
  <si>
    <t>000 1 08 00000 00 0000 000</t>
  </si>
  <si>
    <t>000 1 11 00000 00 0000 000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</si>
  <si>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</si>
  <si>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000 1 12 00000 00 0000 000</t>
  </si>
  <si>
    <t>000 1 14 00000 00 0000 000</t>
  </si>
  <si>
    <t>Доходы от продажи квартир, находящихся в собственности городских округов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</si>
  <si>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</si>
  <si>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</si>
  <si>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000 2 00 00000 00 0000 000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</si>
  <si>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</si>
  <si>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</si>
  <si>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</si>
  <si>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</si>
  <si>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 xml:space="preserve">Налог на доходы физических лиц </t>
  </si>
  <si>
    <t>Наименование кода доходов</t>
  </si>
  <si>
    <t>182 1 05 03000 01 0000 110</t>
  </si>
  <si>
    <t xml:space="preserve">Единый сельскохозяйственный налог </t>
  </si>
  <si>
    <t>Задолженность и перерасчёты по отменённым налогам,сборам и иным обязательным платежам</t>
  </si>
  <si>
    <t>000 1 09 00000 00 0000 000</t>
  </si>
  <si>
    <t xml:space="preserve">Доходы от продажи материальных и нематериальных активов </t>
  </si>
  <si>
    <t>000 1 13 00000 00 0000 000</t>
  </si>
  <si>
    <t>Доходы от оказания платных услуг и компенсации затрат государства</t>
  </si>
  <si>
    <t>000 1 17 00000 00 0000 000</t>
  </si>
  <si>
    <t xml:space="preserve">Прочие неналоговые доходы </t>
  </si>
  <si>
    <t>Прочие безвозмездные поступления</t>
  </si>
  <si>
    <t>Прочие безвозмездные поступления в бюджеты городских округов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</si>
  <si>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 </t>
  </si>
  <si>
    <t>Безвозмездные поступления от других бюджетов системы Российской Федерации</t>
  </si>
  <si>
    <t>000 2 07 0000 00 0000 180</t>
  </si>
  <si>
    <t>Доходы в виде прибыли, приходящейся на доли в уставных (складочных) капиталах хозяйственных товариществ и обществ, или дивидентов по акциям, принадлежащим городским округам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</si>
  <si>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</si>
  <si>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</si>
  <si>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ИСПОЛНЕНИЕ</t>
  </si>
  <si>
    <t>бюджета города Нижневартовска по доходам</t>
  </si>
  <si>
    <t>тыс. рублей</t>
  </si>
  <si>
    <t>040 1 11 01040 04 0000 120</t>
  </si>
  <si>
    <t>040 1 11 05034 04 0000 120</t>
  </si>
  <si>
    <t>040 1 11 07014 04 0000 120</t>
  </si>
  <si>
    <t>048 1 12 01000 01 0000 120</t>
  </si>
  <si>
    <t>040 1 14 01040 04 0000 410</t>
  </si>
  <si>
    <t>040 1 14 06012 04 0000 430</t>
  </si>
  <si>
    <t>000 2 18 0000 00 0000 000</t>
  </si>
  <si>
    <t>040 2 07 04000 04 0210 180</t>
  </si>
  <si>
    <t>000 2 19 0000 00 0000 000</t>
  </si>
  <si>
    <t>План на 1 квартал 2012 года</t>
  </si>
  <si>
    <t>040 1 11 05012 04 0000 120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</si>
  <si>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</si>
  <si>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040 1 14 02043 04 0290 410</t>
  </si>
  <si>
    <t>040 2 18 04030 04 0000 180</t>
  </si>
  <si>
    <t xml:space="preserve"> Доходы бюджетов городских округов от возврата иными организациями остатков субсидий прошлых лет   </t>
  </si>
  <si>
    <t>% исполнения к утверждённому плану 2012 года</t>
  </si>
  <si>
    <t>Утверждено по бюджету на 2012год</t>
  </si>
  <si>
    <t>% исполнения к плану 1 квартала 2012 года</t>
  </si>
  <si>
    <t>на 01.04.2012 года</t>
  </si>
  <si>
    <t>Фактическое исполнение на 01.04.2012года</t>
  </si>
  <si>
    <t>040 111 09044 04 0290 120</t>
  </si>
  <si>
    <t xml:space="preserve"> Информация</t>
  </si>
  <si>
    <t>об исполнении бюджета</t>
  </si>
  <si>
    <t xml:space="preserve"> города Нижневартовска  по расходам  на 01.04.2012 года</t>
  </si>
  <si>
    <t>Наименование расходов</t>
  </si>
  <si>
    <t>Раздел</t>
  </si>
  <si>
    <t>Подраздел</t>
  </si>
  <si>
    <t>Уточненный план на год (тыс. рублей)</t>
  </si>
  <si>
    <t>Уточненный план на 9 месяцев (тыс. рублей)</t>
  </si>
  <si>
    <t>Исполнено на 01.04.2012 г. (тыс. рублей)</t>
  </si>
  <si>
    <t>% исп. к уточненному плану на год</t>
  </si>
  <si>
    <t>% исп. к уточненному плану на 9 месяцев</t>
  </si>
  <si>
    <t>Всего</t>
  </si>
  <si>
    <t>в том числе</t>
  </si>
  <si>
    <t xml:space="preserve">без капитального строительства </t>
  </si>
  <si>
    <t>капитальное строительство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</si>
  <si>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</si>
  <si>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</si>
  <si>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</si>
  <si>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</si>
  <si>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</si>
  <si>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</si>
  <si>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</si>
  <si>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</si>
  <si>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</si>
  <si>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</si>
  <si>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06</t>
  </si>
  <si>
    <t>Резервные фонды</t>
  </si>
  <si>
    <t>11</t>
  </si>
  <si>
    <t>Другие общегосударственные вопросы</t>
  </si>
  <si>
    <t>13</t>
  </si>
  <si>
    <t xml:space="preserve">НАЦИОНАЛЬНАЯ БЕЗОПАСНОСТЬ И ПРАВООХРАНИТЕЛЬНАЯ  ДЕЯТЕЛЬНОСТЬ </t>
  </si>
  <si>
    <t>03</t>
  </si>
  <si>
    <t>Органы юстиции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</si>
  <si>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</si>
  <si>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</si>
  <si>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</si>
  <si>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</si>
  <si>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</si>
  <si>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Общеэкономические вопросы</t>
  </si>
  <si>
    <t>Сельское хозяйство и рыболовство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</si>
  <si>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</si>
  <si>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</si>
  <si>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</si>
  <si>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</si>
  <si>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</si>
  <si>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</si>
  <si>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 xml:space="preserve">Жилищное хозяйство </t>
  </si>
  <si>
    <t>Коммунальное хозяйство</t>
  </si>
  <si>
    <t>Благоустройство</t>
  </si>
  <si>
    <t>Другие вопросы в области жилищно-коммунального-хозяйства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</si>
  <si>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</si>
  <si>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</si>
  <si>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</si>
  <si>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07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</si>
  <si>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</si>
  <si>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</si>
  <si>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</si>
  <si>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</si>
  <si>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 xml:space="preserve">КУЛЬТУРА И КИНЕМАТОГРАФИЯ </t>
  </si>
  <si>
    <t xml:space="preserve">Культура </t>
  </si>
  <si>
    <t xml:space="preserve">Другие вопросы в области культуры, кинематографии </t>
  </si>
  <si>
    <t xml:space="preserve">ЗДРАВООХРАНЕНИЕ 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</si>
  <si>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</si>
  <si>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</si>
  <si>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</si>
  <si>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</si>
  <si>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 xml:space="preserve">Санитарно-эпидемиологическое благополучие 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</si>
  <si>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</si>
  <si>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</si>
  <si>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</si>
  <si>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</si>
  <si>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</si>
  <si>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</si>
  <si>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</si>
  <si>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Физичекая культура</t>
  </si>
  <si>
    <t>Массовый спорт</t>
  </si>
  <si>
    <t>СРЕДСТВА МАССОВОЙ ИНФОРМАЦИИ</t>
  </si>
  <si>
    <t>Периодическая печать и издательства</t>
  </si>
  <si>
    <t>РАСХОДЫ  ИТОГО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</si>
</sst>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\.00\.00"/>
    <numFmt numFmtId="165" formatCode="0000\.00\.00"/>
    <numFmt numFmtId="166" formatCode="0\.00\.0"/>
    <numFmt numFmtId="167" formatCode="000"/>
    <numFmt numFmtId="168" formatCode="000\.00\.000\.0"/>
    <numFmt numFmtId="169" formatCode="00\.00"/>
    <numFmt numFmtId="170" formatCode="#,##0.00;[Red]\-#,##0.00;0.00"/>
    <numFmt numFmtId="171" formatCode="0.000"/>
    <numFmt numFmtId="172" formatCode="#,##0.0;[Red]\-#,##0.0;0.0"/>
    <numFmt numFmtId="173" formatCode="#,##0;[Red]\-#,##0;0"/>
    <numFmt numFmtId="174" formatCode="#,##0.0"/>
    <numFmt numFmtId="175" formatCode="0.0"/>
    <numFmt numFmtId="176" formatCode="#,##0.000;[Red]\-#,##0.000;0.000"/>
    <numFmt numFmtId="177" formatCode="#,##0.0000;[Red]\-#,##0.0000;0.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"/>
    <numFmt numFmtId="183" formatCode="[$-FC19]d\ mmmm\ yyyy\ &quot;г.&quot;"/>
    <numFmt numFmtId="184" formatCode="#,##0.00_ ;[Red]\-#,##0.00\ "/>
    <numFmt numFmtId="185" formatCode="#,##0.0_ ;[Red]\-#,##0.0\ "/>
  </numFmts>
  <fonts count="55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Arial Cyr"/>
      <family val="0"/>
    </font>
    <font>
      <b/>
      <sz val="16"/>
      <name val="Times New Roman"/>
      <family val="1"/>
    </font>
    <font>
      <b/>
      <sz val="13.5"/>
      <name val="Times New Roman"/>
      <family val="1"/>
    </font>
    <font>
      <b/>
      <i/>
      <sz val="13.5"/>
      <name val="Times New Roman"/>
      <family val="1"/>
    </font>
    <font>
      <sz val="13.5"/>
      <name val="Times New Roman"/>
      <family val="1"/>
    </font>
    <font>
      <sz val="13.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2"/>
      <color indexed="56"/>
      <name val="Times New Roman Cyr"/>
      <family val="1"/>
    </font>
    <font>
      <sz val="12"/>
      <name val="Arial Cyr"/>
      <family val="0"/>
    </font>
    <font>
      <b/>
      <sz val="8"/>
      <name val="Times New Roman Cyr"/>
      <family val="1"/>
    </font>
    <font>
      <b/>
      <sz val="8"/>
      <name val="Arial Cyr"/>
      <family val="0"/>
    </font>
    <font>
      <b/>
      <sz val="12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1" fillId="0" borderId="0" xfId="53" applyProtection="1">
      <alignment/>
      <protection hidden="1"/>
    </xf>
    <xf numFmtId="0" fontId="1" fillId="0" borderId="0" xfId="53">
      <alignment/>
      <protection/>
    </xf>
    <xf numFmtId="0" fontId="4" fillId="0" borderId="0" xfId="53" applyFont="1" applyProtection="1">
      <alignment/>
      <protection hidden="1"/>
    </xf>
    <xf numFmtId="0" fontId="0" fillId="0" borderId="0" xfId="0" applyFill="1" applyAlignment="1">
      <alignment/>
    </xf>
    <xf numFmtId="0" fontId="0" fillId="0" borderId="0" xfId="0" applyAlignment="1">
      <alignment horizontal="center" wrapText="1"/>
    </xf>
    <xf numFmtId="0" fontId="7" fillId="0" borderId="0" xfId="0" applyFont="1" applyAlignment="1">
      <alignment/>
    </xf>
    <xf numFmtId="0" fontId="4" fillId="0" borderId="0" xfId="53" applyFont="1">
      <alignment/>
      <protection/>
    </xf>
    <xf numFmtId="182" fontId="0" fillId="0" borderId="0" xfId="0" applyNumberFormat="1" applyAlignment="1">
      <alignment/>
    </xf>
    <xf numFmtId="166" fontId="9" fillId="33" borderId="10" xfId="53" applyNumberFormat="1" applyFont="1" applyFill="1" applyBorder="1" applyAlignment="1" applyProtection="1">
      <alignment horizontal="right" vertical="center" wrapText="1"/>
      <protection hidden="1"/>
    </xf>
    <xf numFmtId="1" fontId="10" fillId="33" borderId="11" xfId="0" applyNumberFormat="1" applyFont="1" applyFill="1" applyBorder="1" applyAlignment="1">
      <alignment horizontal="left" vertical="center" wrapText="1"/>
    </xf>
    <xf numFmtId="182" fontId="9" fillId="33" borderId="12" xfId="53" applyNumberFormat="1" applyFont="1" applyFill="1" applyBorder="1" applyAlignment="1" applyProtection="1">
      <alignment horizontal="right" vertical="center"/>
      <protection hidden="1"/>
    </xf>
    <xf numFmtId="182" fontId="9" fillId="33" borderId="11" xfId="53" applyNumberFormat="1" applyFont="1" applyFill="1" applyBorder="1" applyAlignment="1" applyProtection="1">
      <alignment horizontal="right" vertical="center"/>
      <protection hidden="1"/>
    </xf>
    <xf numFmtId="4" fontId="9" fillId="33" borderId="11" xfId="53" applyNumberFormat="1" applyFont="1" applyFill="1" applyBorder="1" applyAlignment="1" applyProtection="1">
      <alignment horizontal="right" vertical="center"/>
      <protection hidden="1"/>
    </xf>
    <xf numFmtId="4" fontId="9" fillId="33" borderId="10" xfId="53" applyNumberFormat="1" applyFont="1" applyFill="1" applyBorder="1" applyAlignment="1" applyProtection="1">
      <alignment horizontal="right" vertical="center"/>
      <protection hidden="1"/>
    </xf>
    <xf numFmtId="166" fontId="11" fillId="0" borderId="13" xfId="53" applyNumberFormat="1" applyFont="1" applyFill="1" applyBorder="1" applyAlignment="1" applyProtection="1">
      <alignment horizontal="right" vertical="center" wrapText="1"/>
      <protection hidden="1"/>
    </xf>
    <xf numFmtId="1" fontId="11" fillId="0" borderId="13" xfId="0" applyNumberFormat="1" applyFont="1" applyFill="1" applyBorder="1" applyAlignment="1">
      <alignment horizontal="left" vertical="center" wrapText="1"/>
    </xf>
    <xf numFmtId="182" fontId="11" fillId="33" borderId="14" xfId="53" applyNumberFormat="1" applyFont="1" applyFill="1" applyBorder="1" applyAlignment="1">
      <alignment/>
      <protection/>
    </xf>
    <xf numFmtId="182" fontId="11" fillId="0" borderId="15" xfId="0" applyNumberFormat="1" applyFont="1" applyBorder="1" applyAlignment="1">
      <alignment/>
    </xf>
    <xf numFmtId="182" fontId="11" fillId="0" borderId="14" xfId="53" applyNumberFormat="1" applyFont="1" applyFill="1" applyBorder="1" applyAlignment="1">
      <alignment/>
      <protection/>
    </xf>
    <xf numFmtId="4" fontId="11" fillId="0" borderId="14" xfId="53" applyNumberFormat="1" applyFont="1" applyFill="1" applyBorder="1" applyAlignment="1">
      <alignment/>
      <protection/>
    </xf>
    <xf numFmtId="1" fontId="9" fillId="33" borderId="11" xfId="0" applyNumberFormat="1" applyFont="1" applyFill="1" applyBorder="1" applyAlignment="1">
      <alignment horizontal="left" vertical="center" wrapText="1"/>
    </xf>
    <xf numFmtId="182" fontId="9" fillId="33" borderId="12" xfId="53" applyNumberFormat="1" applyFont="1" applyFill="1" applyBorder="1" applyAlignment="1">
      <alignment vertical="center"/>
      <protection/>
    </xf>
    <xf numFmtId="182" fontId="9" fillId="33" borderId="10" xfId="53" applyNumberFormat="1" applyFont="1" applyFill="1" applyBorder="1" applyAlignment="1">
      <alignment vertical="center"/>
      <protection/>
    </xf>
    <xf numFmtId="4" fontId="9" fillId="33" borderId="10" xfId="53" applyNumberFormat="1" applyFont="1" applyFill="1" applyBorder="1" applyAlignment="1">
      <alignment vertical="center"/>
      <protection/>
    </xf>
    <xf numFmtId="1" fontId="11" fillId="0" borderId="13" xfId="0" applyNumberFormat="1" applyFont="1" applyFill="1" applyBorder="1" applyAlignment="1">
      <alignment horizontal="justify" vertical="center" wrapText="1"/>
    </xf>
    <xf numFmtId="182" fontId="11" fillId="0" borderId="16" xfId="0" applyNumberFormat="1" applyFont="1" applyBorder="1" applyAlignment="1">
      <alignment/>
    </xf>
    <xf numFmtId="4" fontId="11" fillId="0" borderId="17" xfId="0" applyNumberFormat="1" applyFont="1" applyFill="1" applyBorder="1" applyAlignment="1">
      <alignment/>
    </xf>
    <xf numFmtId="166" fontId="11" fillId="0" borderId="18" xfId="53" applyNumberFormat="1" applyFont="1" applyFill="1" applyBorder="1" applyAlignment="1" applyProtection="1">
      <alignment horizontal="right" vertical="center" wrapText="1"/>
      <protection hidden="1"/>
    </xf>
    <xf numFmtId="1" fontId="11" fillId="0" borderId="18" xfId="0" applyNumberFormat="1" applyFont="1" applyFill="1" applyBorder="1" applyAlignment="1">
      <alignment horizontal="justify" vertical="center" wrapText="1"/>
    </xf>
    <xf numFmtId="182" fontId="11" fillId="33" borderId="17" xfId="53" applyNumberFormat="1" applyFont="1" applyFill="1" applyBorder="1" applyAlignment="1">
      <alignment/>
      <protection/>
    </xf>
    <xf numFmtId="182" fontId="11" fillId="0" borderId="17" xfId="53" applyNumberFormat="1" applyFont="1" applyFill="1" applyBorder="1" applyAlignment="1">
      <alignment/>
      <protection/>
    </xf>
    <xf numFmtId="4" fontId="11" fillId="0" borderId="17" xfId="53" applyNumberFormat="1" applyFont="1" applyFill="1" applyBorder="1" applyAlignment="1">
      <alignment/>
      <protection/>
    </xf>
    <xf numFmtId="0" fontId="9" fillId="33" borderId="10" xfId="53" applyFont="1" applyFill="1" applyBorder="1">
      <alignment/>
      <protection/>
    </xf>
    <xf numFmtId="0" fontId="11" fillId="0" borderId="19" xfId="0" applyFont="1" applyBorder="1" applyAlignment="1">
      <alignment/>
    </xf>
    <xf numFmtId="182" fontId="11" fillId="33" borderId="14" xfId="53" applyNumberFormat="1" applyFont="1" applyFill="1" applyBorder="1">
      <alignment/>
      <protection/>
    </xf>
    <xf numFmtId="182" fontId="11" fillId="0" borderId="16" xfId="0" applyNumberFormat="1" applyFont="1" applyBorder="1" applyAlignment="1">
      <alignment/>
    </xf>
    <xf numFmtId="182" fontId="11" fillId="0" borderId="14" xfId="53" applyNumberFormat="1" applyFont="1" applyFill="1" applyBorder="1">
      <alignment/>
      <protection/>
    </xf>
    <xf numFmtId="4" fontId="11" fillId="0" borderId="14" xfId="0" applyNumberFormat="1" applyFont="1" applyFill="1" applyBorder="1" applyAlignment="1">
      <alignment/>
    </xf>
    <xf numFmtId="4" fontId="11" fillId="0" borderId="14" xfId="53" applyNumberFormat="1" applyFont="1" applyFill="1" applyBorder="1">
      <alignment/>
      <protection/>
    </xf>
    <xf numFmtId="0" fontId="11" fillId="0" borderId="18" xfId="53" applyFont="1" applyBorder="1">
      <alignment/>
      <protection/>
    </xf>
    <xf numFmtId="182" fontId="11" fillId="33" borderId="17" xfId="53" applyNumberFormat="1" applyFont="1" applyFill="1" applyBorder="1">
      <alignment/>
      <protection/>
    </xf>
    <xf numFmtId="4" fontId="11" fillId="0" borderId="17" xfId="0" applyNumberFormat="1" applyFont="1" applyFill="1" applyBorder="1" applyAlignment="1">
      <alignment/>
    </xf>
    <xf numFmtId="4" fontId="11" fillId="0" borderId="17" xfId="53" applyNumberFormat="1" applyFont="1" applyFill="1" applyBorder="1">
      <alignment/>
      <protection/>
    </xf>
    <xf numFmtId="0" fontId="11" fillId="0" borderId="20" xfId="53" applyFont="1" applyBorder="1">
      <alignment/>
      <protection/>
    </xf>
    <xf numFmtId="1" fontId="11" fillId="0" borderId="20" xfId="0" applyNumberFormat="1" applyFont="1" applyFill="1" applyBorder="1" applyAlignment="1">
      <alignment horizontal="left" vertical="center" wrapText="1"/>
    </xf>
    <xf numFmtId="182" fontId="11" fillId="33" borderId="21" xfId="53" applyNumberFormat="1" applyFont="1" applyFill="1" applyBorder="1">
      <alignment/>
      <protection/>
    </xf>
    <xf numFmtId="4" fontId="11" fillId="0" borderId="21" xfId="53" applyNumberFormat="1" applyFont="1" applyFill="1" applyBorder="1">
      <alignment/>
      <protection/>
    </xf>
    <xf numFmtId="0" fontId="9" fillId="33" borderId="22" xfId="53" applyFont="1" applyFill="1" applyBorder="1">
      <alignment/>
      <protection/>
    </xf>
    <xf numFmtId="182" fontId="9" fillId="33" borderId="10" xfId="53" applyNumberFormat="1" applyFont="1" applyFill="1" applyBorder="1">
      <alignment/>
      <protection/>
    </xf>
    <xf numFmtId="182" fontId="9" fillId="33" borderId="12" xfId="0" applyNumberFormat="1" applyFont="1" applyFill="1" applyBorder="1" applyAlignment="1">
      <alignment/>
    </xf>
    <xf numFmtId="4" fontId="9" fillId="33" borderId="10" xfId="53" applyNumberFormat="1" applyFont="1" applyFill="1" applyBorder="1">
      <alignment/>
      <protection/>
    </xf>
    <xf numFmtId="4" fontId="9" fillId="33" borderId="10" xfId="0" applyNumberFormat="1" applyFont="1" applyFill="1" applyBorder="1" applyAlignment="1">
      <alignment/>
    </xf>
    <xf numFmtId="1" fontId="9" fillId="33" borderId="23" xfId="0" applyNumberFormat="1" applyFont="1" applyFill="1" applyBorder="1" applyAlignment="1">
      <alignment horizontal="left" vertical="center" wrapText="1"/>
    </xf>
    <xf numFmtId="0" fontId="11" fillId="0" borderId="13" xfId="53" applyFont="1" applyBorder="1">
      <alignment/>
      <protection/>
    </xf>
    <xf numFmtId="1" fontId="11" fillId="0" borderId="19" xfId="0" applyNumberFormat="1" applyFont="1" applyFill="1" applyBorder="1" applyAlignment="1">
      <alignment horizontal="left" vertical="center" wrapText="1"/>
    </xf>
    <xf numFmtId="182" fontId="11" fillId="33" borderId="24" xfId="53" applyNumberFormat="1" applyFont="1" applyFill="1" applyBorder="1">
      <alignment/>
      <protection/>
    </xf>
    <xf numFmtId="182" fontId="11" fillId="0" borderId="16" xfId="0" applyNumberFormat="1" applyFont="1" applyFill="1" applyBorder="1" applyAlignment="1">
      <alignment/>
    </xf>
    <xf numFmtId="182" fontId="11" fillId="0" borderId="24" xfId="53" applyNumberFormat="1" applyFont="1" applyFill="1" applyBorder="1">
      <alignment/>
      <protection/>
    </xf>
    <xf numFmtId="4" fontId="11" fillId="0" borderId="24" xfId="53" applyNumberFormat="1" applyFont="1" applyFill="1" applyBorder="1">
      <alignment/>
      <protection/>
    </xf>
    <xf numFmtId="182" fontId="11" fillId="0" borderId="17" xfId="53" applyNumberFormat="1" applyFont="1" applyFill="1" applyBorder="1">
      <alignment/>
      <protection/>
    </xf>
    <xf numFmtId="0" fontId="11" fillId="0" borderId="20" xfId="53" applyFont="1" applyBorder="1" applyAlignment="1">
      <alignment wrapText="1"/>
      <protection/>
    </xf>
    <xf numFmtId="1" fontId="9" fillId="33" borderId="11" xfId="0" applyNumberFormat="1" applyFont="1" applyFill="1" applyBorder="1" applyAlignment="1">
      <alignment horizontal="justify" vertical="center" wrapText="1"/>
    </xf>
    <xf numFmtId="182" fontId="9" fillId="33" borderId="12" xfId="53" applyNumberFormat="1" applyFont="1" applyFill="1" applyBorder="1">
      <alignment/>
      <protection/>
    </xf>
    <xf numFmtId="0" fontId="11" fillId="0" borderId="19" xfId="53" applyFont="1" applyFill="1" applyBorder="1">
      <alignment/>
      <protection/>
    </xf>
    <xf numFmtId="1" fontId="11" fillId="0" borderId="11" xfId="0" applyNumberFormat="1" applyFont="1" applyFill="1" applyBorder="1" applyAlignment="1">
      <alignment horizontal="justify" vertical="center" wrapText="1"/>
    </xf>
    <xf numFmtId="182" fontId="11" fillId="33" borderId="10" xfId="53" applyNumberFormat="1" applyFont="1" applyFill="1" applyBorder="1">
      <alignment/>
      <protection/>
    </xf>
    <xf numFmtId="1" fontId="9" fillId="33" borderId="25" xfId="0" applyNumberFormat="1" applyFont="1" applyFill="1" applyBorder="1" applyAlignment="1">
      <alignment horizontal="justify" vertical="center" wrapText="1"/>
    </xf>
    <xf numFmtId="0" fontId="11" fillId="0" borderId="26" xfId="0" applyFont="1" applyBorder="1" applyAlignment="1">
      <alignment horizontal="justify" wrapText="1"/>
    </xf>
    <xf numFmtId="182" fontId="11" fillId="0" borderId="21" xfId="53" applyNumberFormat="1" applyFont="1" applyFill="1" applyBorder="1">
      <alignment/>
      <protection/>
    </xf>
    <xf numFmtId="4" fontId="11" fillId="0" borderId="21" xfId="0" applyNumberFormat="1" applyFont="1" applyFill="1" applyBorder="1" applyAlignment="1">
      <alignment/>
    </xf>
    <xf numFmtId="0" fontId="11" fillId="0" borderId="18" xfId="53" applyFont="1" applyBorder="1" applyAlignment="1">
      <alignment horizontal="left"/>
      <protection/>
    </xf>
    <xf numFmtId="49" fontId="11" fillId="0" borderId="18" xfId="0" applyNumberFormat="1" applyFont="1" applyFill="1" applyBorder="1" applyAlignment="1">
      <alignment horizontal="justify" vertical="center" wrapText="1"/>
    </xf>
    <xf numFmtId="4" fontId="11" fillId="0" borderId="17" xfId="0" applyNumberFormat="1" applyFont="1" applyFill="1" applyBorder="1" applyAlignment="1">
      <alignment horizontal="right"/>
    </xf>
    <xf numFmtId="182" fontId="9" fillId="33" borderId="22" xfId="53" applyNumberFormat="1" applyFont="1" applyFill="1" applyBorder="1">
      <alignment/>
      <protection/>
    </xf>
    <xf numFmtId="182" fontId="9" fillId="33" borderId="27" xfId="53" applyNumberFormat="1" applyFont="1" applyFill="1" applyBorder="1">
      <alignment/>
      <protection/>
    </xf>
    <xf numFmtId="4" fontId="9" fillId="33" borderId="22" xfId="53" applyNumberFormat="1" applyFont="1" applyFill="1" applyBorder="1">
      <alignment/>
      <protection/>
    </xf>
    <xf numFmtId="0" fontId="9" fillId="33" borderId="11" xfId="53" applyFont="1" applyFill="1" applyBorder="1">
      <alignment/>
      <protection/>
    </xf>
    <xf numFmtId="49" fontId="9" fillId="0" borderId="10" xfId="0" applyNumberFormat="1" applyFont="1" applyFill="1" applyBorder="1" applyAlignment="1">
      <alignment horizontal="left" vertical="center"/>
    </xf>
    <xf numFmtId="1" fontId="9" fillId="0" borderId="10" xfId="0" applyNumberFormat="1" applyFont="1" applyFill="1" applyBorder="1" applyAlignment="1">
      <alignment horizontal="left" vertical="center" wrapText="1"/>
    </xf>
    <xf numFmtId="182" fontId="9" fillId="0" borderId="10" xfId="53" applyNumberFormat="1" applyFont="1" applyFill="1" applyBorder="1">
      <alignment/>
      <protection/>
    </xf>
    <xf numFmtId="4" fontId="9" fillId="0" borderId="10" xfId="53" applyNumberFormat="1" applyFont="1" applyFill="1" applyBorder="1">
      <alignment/>
      <protection/>
    </xf>
    <xf numFmtId="49" fontId="11" fillId="0" borderId="10" xfId="0" applyNumberFormat="1" applyFont="1" applyFill="1" applyBorder="1" applyAlignment="1">
      <alignment horizontal="left" vertical="center"/>
    </xf>
    <xf numFmtId="1" fontId="11" fillId="0" borderId="10" xfId="0" applyNumberFormat="1" applyFont="1" applyFill="1" applyBorder="1" applyAlignment="1">
      <alignment horizontal="left" vertical="center" wrapText="1"/>
    </xf>
    <xf numFmtId="182" fontId="11" fillId="0" borderId="10" xfId="53" applyNumberFormat="1" applyFont="1" applyFill="1" applyBorder="1">
      <alignment/>
      <protection/>
    </xf>
    <xf numFmtId="4" fontId="11" fillId="0" borderId="10" xfId="53" applyNumberFormat="1" applyFont="1" applyFill="1" applyBorder="1">
      <alignment/>
      <protection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justify" vertical="center" wrapText="1"/>
    </xf>
    <xf numFmtId="49" fontId="9" fillId="33" borderId="10" xfId="0" applyNumberFormat="1" applyFont="1" applyFill="1" applyBorder="1" applyAlignment="1">
      <alignment horizontal="left" vertical="center"/>
    </xf>
    <xf numFmtId="49" fontId="11" fillId="0" borderId="19" xfId="0" applyNumberFormat="1" applyFont="1" applyFill="1" applyBorder="1" applyAlignment="1">
      <alignment horizontal="left" vertical="center"/>
    </xf>
    <xf numFmtId="182" fontId="11" fillId="0" borderId="28" xfId="0" applyNumberFormat="1" applyFont="1" applyFill="1" applyBorder="1" applyAlignment="1">
      <alignment/>
    </xf>
    <xf numFmtId="1" fontId="11" fillId="0" borderId="19" xfId="0" applyNumberFormat="1" applyFont="1" applyFill="1" applyBorder="1" applyAlignment="1">
      <alignment horizontal="justify" vertical="center" wrapText="1"/>
    </xf>
    <xf numFmtId="182" fontId="9" fillId="33" borderId="24" xfId="53" applyNumberFormat="1" applyFont="1" applyFill="1" applyBorder="1">
      <alignment/>
      <protection/>
    </xf>
    <xf numFmtId="182" fontId="11" fillId="0" borderId="29" xfId="0" applyNumberFormat="1" applyFont="1" applyFill="1" applyBorder="1" applyAlignment="1">
      <alignment/>
    </xf>
    <xf numFmtId="4" fontId="11" fillId="0" borderId="24" xfId="0" applyNumberFormat="1" applyFont="1" applyFill="1" applyBorder="1" applyAlignment="1">
      <alignment/>
    </xf>
    <xf numFmtId="49" fontId="4" fillId="33" borderId="30" xfId="0" applyNumberFormat="1" applyFont="1" applyFill="1" applyBorder="1" applyAlignment="1">
      <alignment horizontal="center" vertical="center" wrapText="1"/>
    </xf>
    <xf numFmtId="49" fontId="4" fillId="33" borderId="31" xfId="0" applyNumberFormat="1" applyFont="1" applyFill="1" applyBorder="1" applyAlignment="1">
      <alignment horizontal="center" vertical="center" wrapText="1"/>
    </xf>
    <xf numFmtId="0" fontId="8" fillId="0" borderId="0" xfId="53" applyFont="1" applyAlignment="1" applyProtection="1">
      <alignment horizontal="center" wrapText="1"/>
      <protection hidden="1"/>
    </xf>
    <xf numFmtId="44" fontId="8" fillId="0" borderId="0" xfId="43" applyFont="1" applyAlignment="1" applyProtection="1">
      <alignment horizontal="center" wrapText="1"/>
      <protection hidden="1"/>
    </xf>
    <xf numFmtId="0" fontId="3" fillId="0" borderId="25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23" xfId="53" applyNumberFormat="1" applyFont="1" applyFill="1" applyBorder="1" applyAlignment="1" applyProtection="1">
      <alignment horizontal="center" vertical="center" wrapText="1"/>
      <protection hidden="1"/>
    </xf>
    <xf numFmtId="4" fontId="4" fillId="33" borderId="22" xfId="53" applyNumberFormat="1" applyFont="1" applyFill="1" applyBorder="1" applyAlignment="1">
      <alignment horizontal="center" vertical="center" wrapText="1"/>
      <protection/>
    </xf>
    <xf numFmtId="4" fontId="4" fillId="33" borderId="32" xfId="53" applyNumberFormat="1" applyFont="1" applyFill="1" applyBorder="1" applyAlignment="1">
      <alignment horizontal="center" vertical="center" wrapText="1"/>
      <protection/>
    </xf>
    <xf numFmtId="0" fontId="30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2" fillId="0" borderId="0" xfId="0" applyFont="1" applyAlignment="1">
      <alignment/>
    </xf>
    <xf numFmtId="0" fontId="33" fillId="0" borderId="0" xfId="0" applyFont="1" applyAlignment="1">
      <alignment horizontal="center"/>
    </xf>
    <xf numFmtId="0" fontId="32" fillId="0" borderId="0" xfId="0" applyFont="1" applyBorder="1" applyAlignment="1">
      <alignment vertical="center" wrapText="1"/>
    </xf>
    <xf numFmtId="0" fontId="32" fillId="0" borderId="0" xfId="0" applyFont="1" applyBorder="1" applyAlignment="1">
      <alignment horizontal="center" vertical="center" wrapText="1"/>
    </xf>
    <xf numFmtId="0" fontId="31" fillId="0" borderId="27" xfId="0" applyFont="1" applyFill="1" applyBorder="1" applyAlignment="1">
      <alignment horizontal="center" vertical="center" wrapText="1"/>
    </xf>
    <xf numFmtId="0" fontId="31" fillId="0" borderId="33" xfId="0" applyFont="1" applyFill="1" applyBorder="1" applyAlignment="1">
      <alignment horizontal="center" vertical="center" wrapText="1"/>
    </xf>
    <xf numFmtId="0" fontId="31" fillId="0" borderId="34" xfId="0" applyFont="1" applyFill="1" applyBorder="1" applyAlignment="1">
      <alignment horizontal="center" vertical="center" wrapText="1"/>
    </xf>
    <xf numFmtId="0" fontId="34" fillId="0" borderId="34" xfId="0" applyFont="1" applyBorder="1" applyAlignment="1">
      <alignment horizontal="center" vertical="center" wrapText="1"/>
    </xf>
    <xf numFmtId="0" fontId="34" fillId="0" borderId="35" xfId="0" applyFont="1" applyBorder="1" applyAlignment="1">
      <alignment horizontal="center" vertical="center" wrapText="1"/>
    </xf>
    <xf numFmtId="0" fontId="31" fillId="0" borderId="36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/>
    </xf>
    <xf numFmtId="0" fontId="34" fillId="0" borderId="29" xfId="0" applyFont="1" applyBorder="1" applyAlignment="1">
      <alignment horizontal="center" vertical="center" wrapText="1"/>
    </xf>
    <xf numFmtId="0" fontId="31" fillId="0" borderId="37" xfId="0" applyFont="1" applyFill="1" applyBorder="1" applyAlignment="1">
      <alignment horizontal="center" vertical="center" wrapText="1"/>
    </xf>
    <xf numFmtId="0" fontId="34" fillId="0" borderId="37" xfId="0" applyFont="1" applyBorder="1" applyAlignment="1">
      <alignment horizontal="center" vertical="center" wrapText="1"/>
    </xf>
    <xf numFmtId="0" fontId="31" fillId="0" borderId="38" xfId="0" applyFont="1" applyFill="1" applyBorder="1" applyAlignment="1">
      <alignment horizontal="center" vertical="center" wrapText="1"/>
    </xf>
    <xf numFmtId="0" fontId="31" fillId="0" borderId="39" xfId="0" applyFont="1" applyFill="1" applyBorder="1" applyAlignment="1">
      <alignment horizontal="center" vertical="center" wrapText="1"/>
    </xf>
    <xf numFmtId="0" fontId="31" fillId="0" borderId="40" xfId="0" applyFont="1" applyFill="1" applyBorder="1" applyAlignment="1">
      <alignment horizontal="center" vertical="center" wrapText="1"/>
    </xf>
    <xf numFmtId="0" fontId="31" fillId="0" borderId="41" xfId="0" applyFont="1" applyFill="1" applyBorder="1" applyAlignment="1">
      <alignment horizontal="center" vertical="center" wrapText="1"/>
    </xf>
    <xf numFmtId="0" fontId="31" fillId="0" borderId="42" xfId="0" applyFont="1" applyFill="1" applyBorder="1" applyAlignment="1">
      <alignment horizontal="center" vertical="center" wrapText="1"/>
    </xf>
    <xf numFmtId="0" fontId="34" fillId="0" borderId="43" xfId="0" applyFont="1" applyBorder="1" applyAlignment="1">
      <alignment horizontal="center" vertical="center" wrapText="1"/>
    </xf>
    <xf numFmtId="0" fontId="31" fillId="0" borderId="44" xfId="0" applyFont="1" applyFill="1" applyBorder="1" applyAlignment="1">
      <alignment horizontal="center" vertical="center" wrapText="1"/>
    </xf>
    <xf numFmtId="0" fontId="34" fillId="0" borderId="44" xfId="0" applyFont="1" applyBorder="1" applyAlignment="1">
      <alignment horizontal="center" vertical="center" wrapText="1"/>
    </xf>
    <xf numFmtId="0" fontId="31" fillId="0" borderId="45" xfId="0" applyFont="1" applyFill="1" applyBorder="1" applyAlignment="1">
      <alignment horizontal="center" vertical="center" wrapText="1"/>
    </xf>
    <xf numFmtId="0" fontId="31" fillId="0" borderId="46" xfId="0" applyFont="1" applyFill="1" applyBorder="1" applyAlignment="1">
      <alignment horizontal="center" vertical="center" wrapText="1"/>
    </xf>
    <xf numFmtId="0" fontId="34" fillId="0" borderId="47" xfId="0" applyFont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center" vertical="center" wrapText="1"/>
    </xf>
    <xf numFmtId="0" fontId="36" fillId="0" borderId="48" xfId="0" applyFont="1" applyBorder="1" applyAlignment="1">
      <alignment horizontal="center" vertical="center" wrapText="1"/>
    </xf>
    <xf numFmtId="0" fontId="36" fillId="0" borderId="49" xfId="0" applyFont="1" applyBorder="1" applyAlignment="1">
      <alignment horizontal="center" vertical="center" wrapText="1"/>
    </xf>
    <xf numFmtId="0" fontId="36" fillId="0" borderId="50" xfId="0" applyFont="1" applyBorder="1" applyAlignment="1">
      <alignment horizontal="center" vertical="center" wrapText="1"/>
    </xf>
    <xf numFmtId="0" fontId="35" fillId="0" borderId="0" xfId="0" applyFont="1" applyFill="1" applyAlignment="1">
      <alignment/>
    </xf>
    <xf numFmtId="0" fontId="31" fillId="34" borderId="16" xfId="0" applyFont="1" applyFill="1" applyBorder="1" applyAlignment="1">
      <alignment horizontal="center" vertical="center" wrapText="1"/>
    </xf>
    <xf numFmtId="49" fontId="31" fillId="34" borderId="51" xfId="0" applyNumberFormat="1" applyFont="1" applyFill="1" applyBorder="1" applyAlignment="1">
      <alignment horizontal="center" vertical="center" wrapText="1"/>
    </xf>
    <xf numFmtId="184" fontId="31" fillId="34" borderId="51" xfId="0" applyNumberFormat="1" applyFont="1" applyFill="1" applyBorder="1" applyAlignment="1">
      <alignment horizontal="center" vertical="center" wrapText="1"/>
    </xf>
    <xf numFmtId="185" fontId="31" fillId="34" borderId="51" xfId="0" applyNumberFormat="1" applyFont="1" applyFill="1" applyBorder="1" applyAlignment="1">
      <alignment horizontal="center" vertical="center" wrapText="1"/>
    </xf>
    <xf numFmtId="185" fontId="31" fillId="34" borderId="52" xfId="0" applyNumberFormat="1" applyFont="1" applyFill="1" applyBorder="1" applyAlignment="1">
      <alignment horizontal="center" vertical="center" wrapText="1"/>
    </xf>
    <xf numFmtId="185" fontId="31" fillId="34" borderId="40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2" fillId="35" borderId="16" xfId="0" applyFont="1" applyFill="1" applyBorder="1" applyAlignment="1">
      <alignment horizontal="left" vertical="center" wrapText="1"/>
    </xf>
    <xf numFmtId="49" fontId="32" fillId="35" borderId="51" xfId="0" applyNumberFormat="1" applyFont="1" applyFill="1" applyBorder="1" applyAlignment="1">
      <alignment horizontal="center" vertical="center" wrapText="1"/>
    </xf>
    <xf numFmtId="49" fontId="32" fillId="0" borderId="51" xfId="0" applyNumberFormat="1" applyFont="1" applyBorder="1" applyAlignment="1">
      <alignment horizontal="center" vertical="center" wrapText="1"/>
    </xf>
    <xf numFmtId="184" fontId="32" fillId="0" borderId="51" xfId="0" applyNumberFormat="1" applyFont="1" applyFill="1" applyBorder="1" applyAlignment="1">
      <alignment horizontal="center" vertical="center" wrapText="1"/>
    </xf>
    <xf numFmtId="185" fontId="32" fillId="0" borderId="51" xfId="0" applyNumberFormat="1" applyFont="1" applyFill="1" applyBorder="1" applyAlignment="1">
      <alignment horizontal="center" vertical="center" wrapText="1"/>
    </xf>
    <xf numFmtId="185" fontId="32" fillId="0" borderId="52" xfId="0" applyNumberFormat="1" applyFont="1" applyFill="1" applyBorder="1" applyAlignment="1">
      <alignment horizontal="center" vertical="center" wrapText="1"/>
    </xf>
    <xf numFmtId="185" fontId="32" fillId="0" borderId="40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32" fillId="0" borderId="16" xfId="0" applyFont="1" applyBorder="1" applyAlignment="1">
      <alignment horizontal="left" vertical="center" wrapText="1"/>
    </xf>
    <xf numFmtId="0" fontId="32" fillId="0" borderId="16" xfId="0" applyFont="1" applyFill="1" applyBorder="1" applyAlignment="1">
      <alignment horizontal="left" vertical="center" wrapText="1"/>
    </xf>
    <xf numFmtId="184" fontId="32" fillId="0" borderId="51" xfId="0" applyNumberFormat="1" applyFont="1" applyFill="1" applyBorder="1" applyAlignment="1">
      <alignment horizontal="center" vertical="center" wrapText="1"/>
    </xf>
    <xf numFmtId="0" fontId="32" fillId="36" borderId="16" xfId="0" applyFont="1" applyFill="1" applyBorder="1" applyAlignment="1">
      <alignment horizontal="left" vertical="center" wrapText="1"/>
    </xf>
    <xf numFmtId="49" fontId="32" fillId="36" borderId="51" xfId="0" applyNumberFormat="1" applyFont="1" applyFill="1" applyBorder="1" applyAlignment="1">
      <alignment horizontal="center" vertical="center" wrapText="1"/>
    </xf>
    <xf numFmtId="184" fontId="32" fillId="36" borderId="51" xfId="0" applyNumberFormat="1" applyFont="1" applyFill="1" applyBorder="1" applyAlignment="1">
      <alignment horizontal="center" vertical="center" wrapText="1"/>
    </xf>
    <xf numFmtId="185" fontId="32" fillId="36" borderId="52" xfId="0" applyNumberFormat="1" applyFont="1" applyFill="1" applyBorder="1" applyAlignment="1">
      <alignment horizontal="center" vertical="center" wrapText="1"/>
    </xf>
    <xf numFmtId="185" fontId="31" fillId="36" borderId="40" xfId="0" applyNumberFormat="1" applyFont="1" applyFill="1" applyBorder="1" applyAlignment="1">
      <alignment horizontal="center" vertical="center" wrapText="1"/>
    </xf>
    <xf numFmtId="185" fontId="31" fillId="36" borderId="51" xfId="0" applyNumberFormat="1" applyFont="1" applyFill="1" applyBorder="1" applyAlignment="1">
      <alignment horizontal="center" vertical="center" wrapText="1"/>
    </xf>
    <xf numFmtId="185" fontId="31" fillId="36" borderId="52" xfId="0" applyNumberFormat="1" applyFont="1" applyFill="1" applyBorder="1" applyAlignment="1">
      <alignment horizontal="center" vertical="center" wrapText="1"/>
    </xf>
    <xf numFmtId="0" fontId="32" fillId="36" borderId="0" xfId="0" applyFont="1" applyFill="1" applyAlignment="1">
      <alignment vertical="center"/>
    </xf>
    <xf numFmtId="185" fontId="31" fillId="37" borderId="52" xfId="0" applyNumberFormat="1" applyFont="1" applyFill="1" applyBorder="1" applyAlignment="1">
      <alignment horizontal="center" vertical="center" wrapText="1"/>
    </xf>
    <xf numFmtId="0" fontId="32" fillId="0" borderId="16" xfId="0" applyFont="1" applyBorder="1" applyAlignment="1">
      <alignment horizontal="justify" vertical="center" wrapText="1"/>
    </xf>
    <xf numFmtId="0" fontId="32" fillId="0" borderId="0" xfId="0" applyFont="1" applyFill="1" applyAlignment="1">
      <alignment vertical="center"/>
    </xf>
    <xf numFmtId="0" fontId="32" fillId="0" borderId="0" xfId="0" applyFont="1" applyBorder="1" applyAlignment="1">
      <alignment vertical="center"/>
    </xf>
    <xf numFmtId="49" fontId="31" fillId="34" borderId="51" xfId="0" applyNumberFormat="1" applyFont="1" applyFill="1" applyBorder="1" applyAlignment="1">
      <alignment horizontal="center" vertical="center" wrapText="1"/>
    </xf>
    <xf numFmtId="185" fontId="31" fillId="34" borderId="52" xfId="0" applyNumberFormat="1" applyFont="1" applyFill="1" applyBorder="1" applyAlignment="1">
      <alignment horizontal="center" vertical="center" wrapText="1"/>
    </xf>
    <xf numFmtId="0" fontId="31" fillId="34" borderId="51" xfId="0" applyFont="1" applyFill="1" applyBorder="1" applyAlignment="1">
      <alignment horizontal="center" vertical="center" wrapText="1"/>
    </xf>
    <xf numFmtId="185" fontId="32" fillId="37" borderId="52" xfId="0" applyNumberFormat="1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left" vertical="center" wrapText="1"/>
    </xf>
    <xf numFmtId="0" fontId="32" fillId="0" borderId="51" xfId="0" applyFont="1" applyFill="1" applyBorder="1" applyAlignment="1">
      <alignment horizontal="center" vertical="center" wrapText="1"/>
    </xf>
    <xf numFmtId="49" fontId="32" fillId="0" borderId="51" xfId="0" applyNumberFormat="1" applyFont="1" applyFill="1" applyBorder="1" applyAlignment="1">
      <alignment horizontal="center" vertical="center" wrapText="1"/>
    </xf>
    <xf numFmtId="0" fontId="32" fillId="35" borderId="16" xfId="0" applyFont="1" applyFill="1" applyBorder="1" applyAlignment="1">
      <alignment horizontal="left" vertical="center" wrapText="1"/>
    </xf>
    <xf numFmtId="0" fontId="32" fillId="35" borderId="51" xfId="0" applyFont="1" applyFill="1" applyBorder="1" applyAlignment="1">
      <alignment horizontal="center" vertical="center" wrapText="1"/>
    </xf>
    <xf numFmtId="184" fontId="32" fillId="35" borderId="51" xfId="0" applyNumberFormat="1" applyFont="1" applyFill="1" applyBorder="1" applyAlignment="1">
      <alignment horizontal="center" vertical="center" wrapText="1"/>
    </xf>
    <xf numFmtId="184" fontId="32" fillId="35" borderId="51" xfId="0" applyNumberFormat="1" applyFont="1" applyFill="1" applyBorder="1" applyAlignment="1">
      <alignment horizontal="center" vertical="center" wrapText="1"/>
    </xf>
    <xf numFmtId="0" fontId="32" fillId="0" borderId="51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left" vertical="center" wrapText="1"/>
    </xf>
    <xf numFmtId="0" fontId="32" fillId="0" borderId="38" xfId="0" applyFont="1" applyBorder="1" applyAlignment="1">
      <alignment horizontal="center" vertical="center" wrapText="1"/>
    </xf>
    <xf numFmtId="49" fontId="32" fillId="0" borderId="38" xfId="0" applyNumberFormat="1" applyFont="1" applyBorder="1" applyAlignment="1">
      <alignment horizontal="center" vertical="center" wrapText="1"/>
    </xf>
    <xf numFmtId="184" fontId="32" fillId="0" borderId="38" xfId="0" applyNumberFormat="1" applyFont="1" applyFill="1" applyBorder="1" applyAlignment="1">
      <alignment horizontal="center" vertical="center" wrapText="1"/>
    </xf>
    <xf numFmtId="184" fontId="32" fillId="0" borderId="38" xfId="0" applyNumberFormat="1" applyFont="1" applyFill="1" applyBorder="1" applyAlignment="1">
      <alignment horizontal="center" vertical="center" wrapText="1"/>
    </xf>
    <xf numFmtId="185" fontId="32" fillId="0" borderId="38" xfId="0" applyNumberFormat="1" applyFont="1" applyFill="1" applyBorder="1" applyAlignment="1">
      <alignment horizontal="center" vertical="center" wrapText="1"/>
    </xf>
    <xf numFmtId="185" fontId="32" fillId="0" borderId="53" xfId="0" applyNumberFormat="1" applyFont="1" applyFill="1" applyBorder="1" applyAlignment="1">
      <alignment horizontal="center" vertical="center" wrapText="1"/>
    </xf>
    <xf numFmtId="0" fontId="31" fillId="37" borderId="16" xfId="0" applyFont="1" applyFill="1" applyBorder="1" applyAlignment="1">
      <alignment horizontal="center" vertical="center" wrapText="1"/>
    </xf>
    <xf numFmtId="184" fontId="31" fillId="37" borderId="51" xfId="0" applyNumberFormat="1" applyFont="1" applyFill="1" applyBorder="1" applyAlignment="1">
      <alignment horizontal="center" vertical="center" wrapText="1"/>
    </xf>
    <xf numFmtId="185" fontId="31" fillId="37" borderId="38" xfId="0" applyNumberFormat="1" applyFont="1" applyFill="1" applyBorder="1" applyAlignment="1">
      <alignment horizontal="center" vertical="center" wrapText="1"/>
    </xf>
    <xf numFmtId="185" fontId="32" fillId="0" borderId="54" xfId="0" applyNumberFormat="1" applyFont="1" applyFill="1" applyBorder="1" applyAlignment="1">
      <alignment horizontal="center" vertical="center" wrapText="1"/>
    </xf>
    <xf numFmtId="185" fontId="32" fillId="0" borderId="37" xfId="0" applyNumberFormat="1" applyFont="1" applyFill="1" applyBorder="1" applyAlignment="1">
      <alignment horizontal="center" vertical="center" wrapText="1"/>
    </xf>
    <xf numFmtId="185" fontId="32" fillId="0" borderId="55" xfId="0" applyNumberFormat="1" applyFont="1" applyFill="1" applyBorder="1" applyAlignment="1">
      <alignment horizontal="center" vertical="center" wrapText="1"/>
    </xf>
    <xf numFmtId="0" fontId="32" fillId="0" borderId="16" xfId="0" applyFont="1" applyBorder="1" applyAlignment="1">
      <alignment horizontal="left" vertical="center" wrapText="1"/>
    </xf>
    <xf numFmtId="0" fontId="32" fillId="36" borderId="51" xfId="0" applyFont="1" applyFill="1" applyBorder="1" applyAlignment="1">
      <alignment horizontal="center" vertical="center" wrapText="1"/>
    </xf>
    <xf numFmtId="185" fontId="32" fillId="36" borderId="38" xfId="0" applyNumberFormat="1" applyFont="1" applyFill="1" applyBorder="1" applyAlignment="1">
      <alignment horizontal="center" vertical="center" wrapText="1"/>
    </xf>
    <xf numFmtId="0" fontId="31" fillId="34" borderId="12" xfId="0" applyFont="1" applyFill="1" applyBorder="1" applyAlignment="1">
      <alignment horizontal="center" vertical="center" wrapText="1"/>
    </xf>
    <xf numFmtId="0" fontId="31" fillId="34" borderId="56" xfId="0" applyFont="1" applyFill="1" applyBorder="1" applyAlignment="1">
      <alignment horizontal="center" vertical="center" wrapText="1"/>
    </xf>
    <xf numFmtId="184" fontId="31" fillId="34" borderId="56" xfId="0" applyNumberFormat="1" applyFont="1" applyFill="1" applyBorder="1" applyAlignment="1">
      <alignment horizontal="center" vertical="center" wrapText="1"/>
    </xf>
    <xf numFmtId="185" fontId="31" fillId="34" borderId="56" xfId="0" applyNumberFormat="1" applyFont="1" applyFill="1" applyBorder="1" applyAlignment="1">
      <alignment horizontal="center" vertical="center" wrapText="1"/>
    </xf>
    <xf numFmtId="185" fontId="31" fillId="34" borderId="57" xfId="0" applyNumberFormat="1" applyFont="1" applyFill="1" applyBorder="1" applyAlignment="1">
      <alignment horizontal="center" vertical="center" wrapText="1"/>
    </xf>
    <xf numFmtId="185" fontId="31" fillId="34" borderId="58" xfId="0" applyNumberFormat="1" applyFont="1" applyFill="1" applyBorder="1" applyAlignment="1">
      <alignment horizontal="center" vertical="center" wrapText="1"/>
    </xf>
    <xf numFmtId="174" fontId="31" fillId="0" borderId="0" xfId="0" applyNumberFormat="1" applyFont="1" applyFill="1" applyBorder="1" applyAlignment="1">
      <alignment horizontal="center" vertical="center" wrapText="1"/>
    </xf>
    <xf numFmtId="174" fontId="32" fillId="0" borderId="0" xfId="0" applyNumberFormat="1" applyFont="1" applyBorder="1" applyAlignment="1">
      <alignment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2" fillId="0" borderId="0" xfId="0" applyFont="1" applyAlignment="1">
      <alignment vertical="center" wrapText="1"/>
    </xf>
    <xf numFmtId="174" fontId="32" fillId="0" borderId="0" xfId="0" applyNumberFormat="1" applyFont="1" applyAlignment="1">
      <alignment vertical="center" wrapText="1"/>
    </xf>
    <xf numFmtId="0" fontId="37" fillId="0" borderId="0" xfId="0" applyFont="1" applyAlignment="1">
      <alignment horizontal="center" vertical="center" wrapText="1"/>
    </xf>
    <xf numFmtId="174" fontId="37" fillId="0" borderId="0" xfId="0" applyNumberFormat="1" applyFont="1" applyAlignment="1">
      <alignment horizontal="center" vertical="center" wrapText="1"/>
    </xf>
    <xf numFmtId="0" fontId="31" fillId="0" borderId="0" xfId="0" applyNumberFormat="1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view="pageBreakPreview" zoomScale="59" zoomScaleNormal="63" zoomScaleSheetLayoutView="59" zoomScalePageLayoutView="0" workbookViewId="0" topLeftCell="A1">
      <pane xSplit="7" ySplit="6" topLeftCell="H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D8" sqref="D8"/>
    </sheetView>
  </sheetViews>
  <sheetFormatPr defaultColWidth="9.00390625" defaultRowHeight="12.75"/>
  <cols>
    <col min="1" max="1" width="35.00390625" style="0" customWidth="1"/>
    <col min="2" max="2" width="101.125" style="0" customWidth="1"/>
    <col min="3" max="3" width="19.50390625" style="0" customWidth="1"/>
    <col min="4" max="4" width="20.875" style="0" customWidth="1"/>
    <col min="5" max="5" width="20.00390625" style="0" customWidth="1"/>
    <col min="6" max="6" width="17.00390625" style="0" customWidth="1"/>
    <col min="7" max="7" width="17.50390625" style="0" customWidth="1"/>
  </cols>
  <sheetData>
    <row r="1" spans="1:7" ht="18.75" customHeight="1">
      <c r="A1" s="97" t="s">
        <v>68</v>
      </c>
      <c r="B1" s="97"/>
      <c r="C1" s="97"/>
      <c r="D1" s="97"/>
      <c r="E1" s="97"/>
      <c r="F1" s="97"/>
      <c r="G1" s="97"/>
    </row>
    <row r="2" spans="1:7" ht="18.75" customHeight="1">
      <c r="A2" s="97" t="s">
        <v>69</v>
      </c>
      <c r="B2" s="97"/>
      <c r="C2" s="97"/>
      <c r="D2" s="97"/>
      <c r="E2" s="97"/>
      <c r="F2" s="97"/>
      <c r="G2" s="97"/>
    </row>
    <row r="3" spans="1:7" ht="18.75" customHeight="1">
      <c r="A3" s="98" t="s">
        <v>89</v>
      </c>
      <c r="B3" s="98"/>
      <c r="C3" s="98"/>
      <c r="D3" s="98"/>
      <c r="E3" s="98"/>
      <c r="F3" s="98"/>
      <c r="G3" s="98"/>
    </row>
    <row r="4" spans="1:7" ht="24.75" customHeight="1" thickBot="1">
      <c r="A4" s="3"/>
      <c r="B4" s="1"/>
      <c r="C4" s="2"/>
      <c r="D4" s="2"/>
      <c r="E4" s="2"/>
      <c r="F4" s="2"/>
      <c r="G4" s="7" t="s">
        <v>70</v>
      </c>
    </row>
    <row r="5" spans="1:7" ht="19.5" customHeight="1">
      <c r="A5" s="99" t="s">
        <v>23</v>
      </c>
      <c r="B5" s="99" t="s">
        <v>50</v>
      </c>
      <c r="C5" s="101" t="s">
        <v>87</v>
      </c>
      <c r="D5" s="101" t="s">
        <v>80</v>
      </c>
      <c r="E5" s="101" t="s">
        <v>90</v>
      </c>
      <c r="F5" s="95" t="s">
        <v>88</v>
      </c>
      <c r="G5" s="101" t="s">
        <v>86</v>
      </c>
    </row>
    <row r="6" spans="1:7" ht="92.25" customHeight="1" thickBot="1">
      <c r="A6" s="100"/>
      <c r="B6" s="100"/>
      <c r="C6" s="102"/>
      <c r="D6" s="102"/>
      <c r="E6" s="102"/>
      <c r="F6" s="96"/>
      <c r="G6" s="102"/>
    </row>
    <row r="7" spans="1:7" ht="22.5" customHeight="1" thickBot="1">
      <c r="A7" s="9"/>
      <c r="B7" s="10" t="s">
        <v>12</v>
      </c>
      <c r="C7" s="11">
        <f>SUM(C8,C9,C13,C17:C19,C26,C28:C29,C33:C35)</f>
        <v>6157495.099000001</v>
      </c>
      <c r="D7" s="11">
        <f>SUM(D8,D9,D13,D17:D19,D26,D28:D29,D33:D35)</f>
        <v>1333775.804</v>
      </c>
      <c r="E7" s="12">
        <f>SUM(E8,E9,E13,E17,E18,E19,E26,E28,E29,E33,E35)</f>
        <v>1366917.5729999999</v>
      </c>
      <c r="F7" s="13">
        <f>E7/D7*100</f>
        <v>102.4848080839829</v>
      </c>
      <c r="G7" s="14">
        <f>E7/C7*100</f>
        <v>22.199247437841922</v>
      </c>
    </row>
    <row r="8" spans="1:7" ht="24.75" customHeight="1" thickBot="1">
      <c r="A8" s="15" t="s">
        <v>25</v>
      </c>
      <c r="B8" s="16" t="s">
        <v>49</v>
      </c>
      <c r="C8" s="17">
        <v>4017249.9</v>
      </c>
      <c r="D8" s="18">
        <v>912703</v>
      </c>
      <c r="E8" s="19">
        <v>908123.395</v>
      </c>
      <c r="F8" s="20">
        <f>E8/D8*100</f>
        <v>99.49823710451264</v>
      </c>
      <c r="G8" s="20">
        <f aca="true" t="shared" si="0" ref="G8:G48">E8/C8*100</f>
        <v>22.605598795335087</v>
      </c>
    </row>
    <row r="9" spans="1:7" ht="24.75" customHeight="1" thickBot="1">
      <c r="A9" s="9" t="s">
        <v>26</v>
      </c>
      <c r="B9" s="21" t="s">
        <v>13</v>
      </c>
      <c r="C9" s="22">
        <f>SUM(C10:C12)</f>
        <v>700357</v>
      </c>
      <c r="D9" s="22">
        <f>SUM(D10:D12)</f>
        <v>171080</v>
      </c>
      <c r="E9" s="23">
        <f>SUM(E10,E11,E12)</f>
        <v>177117.65099999998</v>
      </c>
      <c r="F9" s="24">
        <f aca="true" t="shared" si="1" ref="F9:F48">E9/D9*100</f>
        <v>103.52913899929857</v>
      </c>
      <c r="G9" s="24">
        <f t="shared" si="0"/>
        <v>25.28962386325831</v>
      </c>
    </row>
    <row r="10" spans="1:7" ht="24" customHeight="1">
      <c r="A10" s="15" t="s">
        <v>28</v>
      </c>
      <c r="B10" s="25" t="s">
        <v>27</v>
      </c>
      <c r="C10" s="17">
        <v>413547</v>
      </c>
      <c r="D10" s="26">
        <v>96447</v>
      </c>
      <c r="E10" s="19">
        <v>106715.689</v>
      </c>
      <c r="F10" s="27">
        <f t="shared" si="1"/>
        <v>110.64697605939014</v>
      </c>
      <c r="G10" s="20">
        <f t="shared" si="0"/>
        <v>25.804972348971216</v>
      </c>
    </row>
    <row r="11" spans="1:7" ht="24" customHeight="1">
      <c r="A11" s="28" t="s">
        <v>29</v>
      </c>
      <c r="B11" s="29" t="s">
        <v>14</v>
      </c>
      <c r="C11" s="30">
        <v>286550</v>
      </c>
      <c r="D11" s="26">
        <v>74503</v>
      </c>
      <c r="E11" s="31">
        <v>70283.366</v>
      </c>
      <c r="F11" s="27">
        <f t="shared" si="1"/>
        <v>94.33628981383299</v>
      </c>
      <c r="G11" s="32">
        <f t="shared" si="0"/>
        <v>24.527435351596576</v>
      </c>
    </row>
    <row r="12" spans="1:7" ht="20.25" customHeight="1" thickBot="1">
      <c r="A12" s="28" t="s">
        <v>51</v>
      </c>
      <c r="B12" s="29" t="s">
        <v>52</v>
      </c>
      <c r="C12" s="17">
        <v>260</v>
      </c>
      <c r="D12" s="26">
        <v>130</v>
      </c>
      <c r="E12" s="19">
        <v>118.596</v>
      </c>
      <c r="F12" s="27">
        <f t="shared" si="1"/>
        <v>91.22769230769231</v>
      </c>
      <c r="G12" s="20">
        <f t="shared" si="0"/>
        <v>45.613846153846154</v>
      </c>
    </row>
    <row r="13" spans="1:7" ht="19.5" customHeight="1" thickBot="1">
      <c r="A13" s="33" t="s">
        <v>30</v>
      </c>
      <c r="B13" s="21" t="s">
        <v>15</v>
      </c>
      <c r="C13" s="22">
        <f>SUM(C14:C16)</f>
        <v>543012.98</v>
      </c>
      <c r="D13" s="22">
        <f>SUM(D14:D16)</f>
        <v>84679</v>
      </c>
      <c r="E13" s="23">
        <f>SUM(E14,E15,E16)</f>
        <v>109157.373</v>
      </c>
      <c r="F13" s="24">
        <f t="shared" si="1"/>
        <v>128.90725327412937</v>
      </c>
      <c r="G13" s="24">
        <f t="shared" si="0"/>
        <v>20.10216643440089</v>
      </c>
    </row>
    <row r="14" spans="1:7" ht="35.25" customHeight="1">
      <c r="A14" s="34" t="s">
        <v>31</v>
      </c>
      <c r="B14" s="25" t="s">
        <v>32</v>
      </c>
      <c r="C14" s="35">
        <v>64000</v>
      </c>
      <c r="D14" s="36">
        <v>1500</v>
      </c>
      <c r="E14" s="37">
        <v>1740.572</v>
      </c>
      <c r="F14" s="38">
        <f t="shared" si="1"/>
        <v>116.03813333333332</v>
      </c>
      <c r="G14" s="39">
        <f t="shared" si="0"/>
        <v>2.7196437499999995</v>
      </c>
    </row>
    <row r="15" spans="1:7" ht="24" customHeight="1">
      <c r="A15" s="40" t="s">
        <v>33</v>
      </c>
      <c r="B15" s="29" t="s">
        <v>34</v>
      </c>
      <c r="C15" s="41">
        <v>342347</v>
      </c>
      <c r="D15" s="36">
        <v>53957</v>
      </c>
      <c r="E15" s="37">
        <v>79228.225</v>
      </c>
      <c r="F15" s="42">
        <f t="shared" si="1"/>
        <v>146.83586003669592</v>
      </c>
      <c r="G15" s="43">
        <f t="shared" si="0"/>
        <v>23.142666651087936</v>
      </c>
    </row>
    <row r="16" spans="1:7" ht="24" customHeight="1" thickBot="1">
      <c r="A16" s="44" t="s">
        <v>35</v>
      </c>
      <c r="B16" s="45" t="s">
        <v>16</v>
      </c>
      <c r="C16" s="46">
        <v>136665.98</v>
      </c>
      <c r="D16" s="36">
        <v>29222</v>
      </c>
      <c r="E16" s="37">
        <v>28188.576</v>
      </c>
      <c r="F16" s="42">
        <f t="shared" si="1"/>
        <v>96.46354116761344</v>
      </c>
      <c r="G16" s="47">
        <f t="shared" si="0"/>
        <v>20.62589094959843</v>
      </c>
    </row>
    <row r="17" spans="1:7" ht="26.25" customHeight="1" thickBot="1">
      <c r="A17" s="48" t="s">
        <v>36</v>
      </c>
      <c r="B17" s="21" t="s">
        <v>17</v>
      </c>
      <c r="C17" s="49">
        <v>22850</v>
      </c>
      <c r="D17" s="50">
        <v>6154</v>
      </c>
      <c r="E17" s="49">
        <v>8299.926</v>
      </c>
      <c r="F17" s="51">
        <f t="shared" si="1"/>
        <v>134.8704257393565</v>
      </c>
      <c r="G17" s="51">
        <f t="shared" si="0"/>
        <v>36.32352735229759</v>
      </c>
    </row>
    <row r="18" spans="1:7" ht="37.5" customHeight="1" thickBot="1">
      <c r="A18" s="48" t="s">
        <v>54</v>
      </c>
      <c r="B18" s="21" t="s">
        <v>53</v>
      </c>
      <c r="C18" s="49">
        <v>0</v>
      </c>
      <c r="D18" s="50">
        <v>0</v>
      </c>
      <c r="E18" s="49">
        <v>-15.688</v>
      </c>
      <c r="F18" s="52">
        <v>0</v>
      </c>
      <c r="G18" s="51">
        <v>0</v>
      </c>
    </row>
    <row r="19" spans="1:7" ht="42" customHeight="1" thickBot="1">
      <c r="A19" s="33" t="s">
        <v>37</v>
      </c>
      <c r="B19" s="53" t="s">
        <v>18</v>
      </c>
      <c r="C19" s="49">
        <f>SUM(C20:C25)</f>
        <v>732006.189</v>
      </c>
      <c r="D19" s="49">
        <f>SUM(D20:D25)</f>
        <v>110807.10399999999</v>
      </c>
      <c r="E19" s="49">
        <f>SUM(E20:E25)</f>
        <v>91542.53099999999</v>
      </c>
      <c r="F19" s="51">
        <f t="shared" si="1"/>
        <v>82.61431595577122</v>
      </c>
      <c r="G19" s="51">
        <f t="shared" si="0"/>
        <v>12.505704511195054</v>
      </c>
    </row>
    <row r="20" spans="1:7" s="4" customFormat="1" ht="56.25" customHeight="1">
      <c r="A20" s="54" t="s">
        <v>71</v>
      </c>
      <c r="B20" s="55" t="s">
        <v>65</v>
      </c>
      <c r="C20" s="56">
        <v>2300</v>
      </c>
      <c r="D20" s="57">
        <v>0</v>
      </c>
      <c r="E20" s="58">
        <v>0</v>
      </c>
      <c r="F20" s="42">
        <v>0</v>
      </c>
      <c r="G20" s="59">
        <f t="shared" si="0"/>
        <v>0</v>
      </c>
    </row>
    <row r="21" spans="1:7" ht="70.5" customHeight="1">
      <c r="A21" s="54" t="s">
        <v>81</v>
      </c>
      <c r="B21" s="29" t="s">
        <v>38</v>
      </c>
      <c r="C21" s="41">
        <v>597000</v>
      </c>
      <c r="D21" s="57">
        <v>65000</v>
      </c>
      <c r="E21" s="60">
        <v>56158.511</v>
      </c>
      <c r="F21" s="42">
        <f t="shared" si="1"/>
        <v>86.39770923076922</v>
      </c>
      <c r="G21" s="43">
        <f t="shared" si="0"/>
        <v>9.406785762144052</v>
      </c>
    </row>
    <row r="22" spans="1:7" s="6" customFormat="1" ht="69.75" customHeight="1">
      <c r="A22" s="40" t="s">
        <v>11</v>
      </c>
      <c r="B22" s="29" t="s">
        <v>82</v>
      </c>
      <c r="C22" s="41">
        <v>3000</v>
      </c>
      <c r="D22" s="57">
        <v>0</v>
      </c>
      <c r="E22" s="60">
        <v>0</v>
      </c>
      <c r="F22" s="42">
        <v>0</v>
      </c>
      <c r="G22" s="43">
        <f t="shared" si="0"/>
        <v>0</v>
      </c>
    </row>
    <row r="23" spans="1:7" ht="54" customHeight="1">
      <c r="A23" s="40" t="s">
        <v>72</v>
      </c>
      <c r="B23" s="29" t="s">
        <v>62</v>
      </c>
      <c r="C23" s="41">
        <v>104683.469</v>
      </c>
      <c r="D23" s="57">
        <v>22667.104</v>
      </c>
      <c r="E23" s="60">
        <v>25506.112</v>
      </c>
      <c r="F23" s="42">
        <f t="shared" si="1"/>
        <v>112.52479363927567</v>
      </c>
      <c r="G23" s="43">
        <f t="shared" si="0"/>
        <v>24.364985459165478</v>
      </c>
    </row>
    <row r="24" spans="1:7" ht="53.25" customHeight="1">
      <c r="A24" s="40" t="s">
        <v>73</v>
      </c>
      <c r="B24" s="29" t="s">
        <v>19</v>
      </c>
      <c r="C24" s="41">
        <v>22600</v>
      </c>
      <c r="D24" s="57">
        <v>22600</v>
      </c>
      <c r="E24" s="60">
        <v>9267.813</v>
      </c>
      <c r="F24" s="42">
        <f t="shared" si="1"/>
        <v>41.00802212389381</v>
      </c>
      <c r="G24" s="43">
        <f t="shared" si="0"/>
        <v>41.00802212389381</v>
      </c>
    </row>
    <row r="25" spans="1:7" ht="72" customHeight="1" thickBot="1">
      <c r="A25" s="61" t="s">
        <v>91</v>
      </c>
      <c r="B25" s="29" t="s">
        <v>2</v>
      </c>
      <c r="C25" s="41">
        <v>2422.72</v>
      </c>
      <c r="D25" s="57">
        <v>540</v>
      </c>
      <c r="E25" s="60">
        <v>610.095</v>
      </c>
      <c r="F25" s="42">
        <f t="shared" si="1"/>
        <v>112.98055555555555</v>
      </c>
      <c r="G25" s="43">
        <f t="shared" si="0"/>
        <v>25.18223319244486</v>
      </c>
    </row>
    <row r="26" spans="1:7" ht="24.75" customHeight="1" thickBot="1">
      <c r="A26" s="33" t="s">
        <v>39</v>
      </c>
      <c r="B26" s="62" t="s">
        <v>20</v>
      </c>
      <c r="C26" s="63">
        <f>C27</f>
        <v>17900</v>
      </c>
      <c r="D26" s="63">
        <f>D27</f>
        <v>4475</v>
      </c>
      <c r="E26" s="49">
        <f>E27</f>
        <v>802.98</v>
      </c>
      <c r="F26" s="51">
        <f t="shared" si="1"/>
        <v>17.943687150837988</v>
      </c>
      <c r="G26" s="51">
        <f t="shared" si="0"/>
        <v>4.485921787709497</v>
      </c>
    </row>
    <row r="27" spans="1:7" ht="30" customHeight="1" thickBot="1">
      <c r="A27" s="64" t="s">
        <v>74</v>
      </c>
      <c r="B27" s="65" t="s">
        <v>20</v>
      </c>
      <c r="C27" s="66">
        <v>17900</v>
      </c>
      <c r="D27" s="36">
        <v>4475</v>
      </c>
      <c r="E27" s="58">
        <v>802.98</v>
      </c>
      <c r="F27" s="42">
        <f t="shared" si="1"/>
        <v>17.943687150837988</v>
      </c>
      <c r="G27" s="59">
        <f t="shared" si="0"/>
        <v>4.485921787709497</v>
      </c>
    </row>
    <row r="28" spans="1:7" ht="27.75" customHeight="1" thickBot="1">
      <c r="A28" s="48" t="s">
        <v>56</v>
      </c>
      <c r="B28" s="67" t="s">
        <v>57</v>
      </c>
      <c r="C28" s="49">
        <v>5590</v>
      </c>
      <c r="D28" s="49">
        <v>5590</v>
      </c>
      <c r="E28" s="49">
        <v>7667.942</v>
      </c>
      <c r="F28" s="51">
        <v>0</v>
      </c>
      <c r="G28" s="51">
        <v>0</v>
      </c>
    </row>
    <row r="29" spans="1:7" ht="21" customHeight="1" thickBot="1">
      <c r="A29" s="33" t="s">
        <v>40</v>
      </c>
      <c r="B29" s="62" t="s">
        <v>55</v>
      </c>
      <c r="C29" s="63">
        <f>SUM(C30:C32)</f>
        <v>73379.83</v>
      </c>
      <c r="D29" s="63">
        <f>SUM(D30:D32)</f>
        <v>16289</v>
      </c>
      <c r="E29" s="63">
        <f>SUM(E30:E32)</f>
        <v>31685.015</v>
      </c>
      <c r="F29" s="51">
        <f t="shared" si="1"/>
        <v>194.51786481674748</v>
      </c>
      <c r="G29" s="51">
        <f t="shared" si="0"/>
        <v>43.17946089545315</v>
      </c>
    </row>
    <row r="30" spans="1:7" ht="28.5" customHeight="1">
      <c r="A30" s="54" t="s">
        <v>75</v>
      </c>
      <c r="B30" s="25" t="s">
        <v>41</v>
      </c>
      <c r="C30" s="35">
        <v>21666.6</v>
      </c>
      <c r="D30" s="57">
        <v>4410</v>
      </c>
      <c r="E30" s="37">
        <v>6543.147</v>
      </c>
      <c r="F30" s="42">
        <f t="shared" si="1"/>
        <v>148.37068027210884</v>
      </c>
      <c r="G30" s="39">
        <f t="shared" si="0"/>
        <v>30.19923292071668</v>
      </c>
    </row>
    <row r="31" spans="1:7" ht="69.75" customHeight="1">
      <c r="A31" s="40" t="s">
        <v>83</v>
      </c>
      <c r="B31" s="29" t="s">
        <v>66</v>
      </c>
      <c r="C31" s="41">
        <v>43713.23</v>
      </c>
      <c r="D31" s="57">
        <v>10879</v>
      </c>
      <c r="E31" s="60">
        <v>14226.181</v>
      </c>
      <c r="F31" s="42">
        <f t="shared" si="1"/>
        <v>130.76735913227319</v>
      </c>
      <c r="G31" s="43">
        <f t="shared" si="0"/>
        <v>32.54433726356986</v>
      </c>
    </row>
    <row r="32" spans="1:7" ht="32.25" customHeight="1" thickBot="1">
      <c r="A32" s="44" t="s">
        <v>76</v>
      </c>
      <c r="B32" s="68" t="s">
        <v>42</v>
      </c>
      <c r="C32" s="41">
        <v>8000</v>
      </c>
      <c r="D32" s="57">
        <v>1000</v>
      </c>
      <c r="E32" s="69">
        <v>10915.687</v>
      </c>
      <c r="F32" s="70">
        <f t="shared" si="1"/>
        <v>1091.5687</v>
      </c>
      <c r="G32" s="47">
        <f t="shared" si="0"/>
        <v>136.4460875</v>
      </c>
    </row>
    <row r="33" spans="1:7" ht="24.75" customHeight="1" thickBot="1">
      <c r="A33" s="33" t="s">
        <v>43</v>
      </c>
      <c r="B33" s="67" t="s">
        <v>21</v>
      </c>
      <c r="C33" s="49">
        <v>30462</v>
      </c>
      <c r="D33" s="50">
        <v>7311.5</v>
      </c>
      <c r="E33" s="50">
        <v>12942.59</v>
      </c>
      <c r="F33" s="52">
        <f t="shared" si="1"/>
        <v>177.01689119879643</v>
      </c>
      <c r="G33" s="51">
        <f t="shared" si="0"/>
        <v>42.48765675267546</v>
      </c>
    </row>
    <row r="34" spans="1:7" s="4" customFormat="1" ht="55.5" customHeight="1" hidden="1">
      <c r="A34" s="71" t="s">
        <v>10</v>
      </c>
      <c r="B34" s="72" t="s">
        <v>67</v>
      </c>
      <c r="C34" s="35">
        <v>0</v>
      </c>
      <c r="D34" s="57">
        <v>0</v>
      </c>
      <c r="E34" s="37">
        <v>0</v>
      </c>
      <c r="F34" s="73" t="e">
        <f t="shared" si="1"/>
        <v>#DIV/0!</v>
      </c>
      <c r="G34" s="39" t="e">
        <f t="shared" si="0"/>
        <v>#DIV/0!</v>
      </c>
    </row>
    <row r="35" spans="1:7" ht="23.25" customHeight="1" thickBot="1">
      <c r="A35" s="33" t="s">
        <v>58</v>
      </c>
      <c r="B35" s="67" t="s">
        <v>59</v>
      </c>
      <c r="C35" s="74">
        <v>14687.2</v>
      </c>
      <c r="D35" s="75">
        <v>14687.2</v>
      </c>
      <c r="E35" s="75">
        <v>19593.858</v>
      </c>
      <c r="F35" s="76">
        <v>0</v>
      </c>
      <c r="G35" s="76">
        <v>0</v>
      </c>
    </row>
    <row r="36" spans="1:7" ht="27" customHeight="1" thickBot="1">
      <c r="A36" s="77" t="s">
        <v>44</v>
      </c>
      <c r="B36" s="21" t="s">
        <v>24</v>
      </c>
      <c r="C36" s="63">
        <f>C37+C42+C44+C46</f>
        <v>5063927.698</v>
      </c>
      <c r="D36" s="63">
        <f>D37+D42+D44+D46</f>
        <v>1148152.1539999999</v>
      </c>
      <c r="E36" s="49">
        <f>SUM(E37,E42,E44,E46)</f>
        <v>1115632.0529999998</v>
      </c>
      <c r="F36" s="51">
        <f t="shared" si="1"/>
        <v>97.16761398855503</v>
      </c>
      <c r="G36" s="51">
        <f t="shared" si="0"/>
        <v>22.030963306222148</v>
      </c>
    </row>
    <row r="37" spans="1:7" ht="40.5" customHeight="1" thickBot="1">
      <c r="A37" s="78" t="s">
        <v>5</v>
      </c>
      <c r="B37" s="79" t="s">
        <v>63</v>
      </c>
      <c r="C37" s="49">
        <f>SUM(C38:C41)</f>
        <v>5063887.698</v>
      </c>
      <c r="D37" s="80">
        <f>SUM(D38:D41)</f>
        <v>1148112.1539999999</v>
      </c>
      <c r="E37" s="80">
        <f>E38+E39+E40+E41</f>
        <v>1148112.1539999999</v>
      </c>
      <c r="F37" s="81">
        <f t="shared" si="1"/>
        <v>100</v>
      </c>
      <c r="G37" s="81">
        <f t="shared" si="0"/>
        <v>22.67254375434611</v>
      </c>
    </row>
    <row r="38" spans="1:7" ht="30" customHeight="1" thickBot="1">
      <c r="A38" s="82" t="s">
        <v>6</v>
      </c>
      <c r="B38" s="83" t="s">
        <v>45</v>
      </c>
      <c r="C38" s="66">
        <v>71992.2</v>
      </c>
      <c r="D38" s="84">
        <v>17998.1</v>
      </c>
      <c r="E38" s="84">
        <v>17998.1</v>
      </c>
      <c r="F38" s="85">
        <f t="shared" si="1"/>
        <v>100</v>
      </c>
      <c r="G38" s="85">
        <f t="shared" si="0"/>
        <v>25.000069451968404</v>
      </c>
    </row>
    <row r="39" spans="1:7" ht="37.5" customHeight="1" thickBot="1">
      <c r="A39" s="86" t="s">
        <v>7</v>
      </c>
      <c r="B39" s="87" t="s">
        <v>46</v>
      </c>
      <c r="C39" s="66">
        <v>889914.1</v>
      </c>
      <c r="D39" s="84">
        <v>34583.06</v>
      </c>
      <c r="E39" s="84">
        <v>34583.06</v>
      </c>
      <c r="F39" s="85">
        <f t="shared" si="1"/>
        <v>100</v>
      </c>
      <c r="G39" s="85">
        <f t="shared" si="0"/>
        <v>3.886112153970816</v>
      </c>
    </row>
    <row r="40" spans="1:7" ht="39.75" customHeight="1" thickBot="1">
      <c r="A40" s="82" t="s">
        <v>8</v>
      </c>
      <c r="B40" s="83" t="s">
        <v>47</v>
      </c>
      <c r="C40" s="66">
        <v>4069573.5</v>
      </c>
      <c r="D40" s="84">
        <v>1074766.014</v>
      </c>
      <c r="E40" s="84">
        <v>1074766.014</v>
      </c>
      <c r="F40" s="85">
        <f t="shared" si="1"/>
        <v>100</v>
      </c>
      <c r="G40" s="85">
        <f t="shared" si="0"/>
        <v>26.409794883911054</v>
      </c>
    </row>
    <row r="41" spans="1:7" ht="24" customHeight="1" thickBot="1">
      <c r="A41" s="82" t="s">
        <v>9</v>
      </c>
      <c r="B41" s="83" t="s">
        <v>48</v>
      </c>
      <c r="C41" s="66">
        <v>32407.898</v>
      </c>
      <c r="D41" s="84">
        <v>20764.98</v>
      </c>
      <c r="E41" s="84">
        <v>20764.98</v>
      </c>
      <c r="F41" s="85">
        <f t="shared" si="1"/>
        <v>100</v>
      </c>
      <c r="G41" s="85">
        <f t="shared" si="0"/>
        <v>64.07382546069479</v>
      </c>
    </row>
    <row r="42" spans="1:7" ht="24.75" customHeight="1" thickBot="1">
      <c r="A42" s="88" t="s">
        <v>64</v>
      </c>
      <c r="B42" s="21" t="s">
        <v>60</v>
      </c>
      <c r="C42" s="63">
        <f>C43</f>
        <v>40</v>
      </c>
      <c r="D42" s="63">
        <f>D43</f>
        <v>40</v>
      </c>
      <c r="E42" s="49">
        <f>E43</f>
        <v>40</v>
      </c>
      <c r="F42" s="51">
        <v>0</v>
      </c>
      <c r="G42" s="51">
        <v>0</v>
      </c>
    </row>
    <row r="43" spans="1:7" ht="24" customHeight="1" thickBot="1">
      <c r="A43" s="89" t="s">
        <v>78</v>
      </c>
      <c r="B43" s="55" t="s">
        <v>61</v>
      </c>
      <c r="C43" s="56">
        <v>40</v>
      </c>
      <c r="D43" s="90">
        <v>40</v>
      </c>
      <c r="E43" s="58">
        <v>40</v>
      </c>
      <c r="F43" s="70">
        <v>0</v>
      </c>
      <c r="G43" s="59">
        <v>0</v>
      </c>
    </row>
    <row r="44" spans="1:7" ht="56.25" customHeight="1" thickBot="1">
      <c r="A44" s="88" t="s">
        <v>77</v>
      </c>
      <c r="B44" s="62" t="s">
        <v>3</v>
      </c>
      <c r="C44" s="50">
        <f>C45</f>
        <v>0</v>
      </c>
      <c r="D44" s="50">
        <f>D45</f>
        <v>0</v>
      </c>
      <c r="E44" s="49">
        <f>E45</f>
        <v>581.09</v>
      </c>
      <c r="F44" s="52">
        <v>0</v>
      </c>
      <c r="G44" s="51">
        <v>0</v>
      </c>
    </row>
    <row r="45" spans="1:7" ht="36" customHeight="1" thickBot="1">
      <c r="A45" s="89" t="s">
        <v>84</v>
      </c>
      <c r="B45" s="91" t="s">
        <v>85</v>
      </c>
      <c r="C45" s="92">
        <v>0</v>
      </c>
      <c r="D45" s="93">
        <v>0</v>
      </c>
      <c r="E45" s="58">
        <v>581.09</v>
      </c>
      <c r="F45" s="94">
        <v>0</v>
      </c>
      <c r="G45" s="59">
        <v>0</v>
      </c>
    </row>
    <row r="46" spans="1:7" ht="36" customHeight="1" thickBot="1">
      <c r="A46" s="88" t="s">
        <v>79</v>
      </c>
      <c r="B46" s="62" t="s">
        <v>4</v>
      </c>
      <c r="C46" s="49">
        <f>C47</f>
        <v>0</v>
      </c>
      <c r="D46" s="49">
        <f>D47</f>
        <v>0</v>
      </c>
      <c r="E46" s="49">
        <f>E47</f>
        <v>-33101.191</v>
      </c>
      <c r="F46" s="52">
        <v>0</v>
      </c>
      <c r="G46" s="51">
        <v>0</v>
      </c>
    </row>
    <row r="47" spans="1:7" ht="41.25" customHeight="1" thickBot="1">
      <c r="A47" s="89" t="s">
        <v>1</v>
      </c>
      <c r="B47" s="91" t="s">
        <v>0</v>
      </c>
      <c r="C47" s="56">
        <v>0</v>
      </c>
      <c r="D47" s="93">
        <v>0</v>
      </c>
      <c r="E47" s="58">
        <v>-33101.191</v>
      </c>
      <c r="F47" s="94">
        <v>0</v>
      </c>
      <c r="G47" s="59">
        <v>0</v>
      </c>
    </row>
    <row r="48" spans="1:7" ht="23.25" customHeight="1" thickBot="1">
      <c r="A48" s="33"/>
      <c r="B48" s="21" t="s">
        <v>22</v>
      </c>
      <c r="C48" s="49">
        <f>SUM(C7,C36)</f>
        <v>11221422.797000002</v>
      </c>
      <c r="D48" s="63">
        <f>SUM(D7,D36)</f>
        <v>2481927.9579999996</v>
      </c>
      <c r="E48" s="49">
        <f>SUM(E7,E36)</f>
        <v>2482549.6259999997</v>
      </c>
      <c r="F48" s="51">
        <f t="shared" si="1"/>
        <v>100.0250477858552</v>
      </c>
      <c r="G48" s="51">
        <f t="shared" si="0"/>
        <v>22.123305314400046</v>
      </c>
    </row>
    <row r="49" spans="3:6" ht="12.75">
      <c r="C49" s="8"/>
      <c r="D49" s="8"/>
      <c r="E49" s="8"/>
      <c r="F49" s="8"/>
    </row>
    <row r="50" spans="3:6" ht="12.75">
      <c r="C50" s="8"/>
      <c r="D50" s="8"/>
      <c r="E50" s="8"/>
      <c r="F50" s="8"/>
    </row>
    <row r="51" spans="2:6" ht="12.75">
      <c r="B51" s="5"/>
      <c r="C51" s="8"/>
      <c r="D51" s="8"/>
      <c r="E51" s="8"/>
      <c r="F51" s="8"/>
    </row>
    <row r="52" spans="2:6" ht="12.75">
      <c r="B52" s="5"/>
      <c r="C52" s="8"/>
      <c r="D52" s="8"/>
      <c r="E52" s="8"/>
      <c r="F52" s="8"/>
    </row>
    <row r="53" spans="2:6" ht="12.75">
      <c r="B53" s="5"/>
      <c r="C53" s="8"/>
      <c r="D53" s="8"/>
      <c r="E53" s="8"/>
      <c r="F53" s="8"/>
    </row>
    <row r="54" spans="3:6" ht="12.75">
      <c r="C54" s="8"/>
      <c r="D54" s="8"/>
      <c r="E54" s="8"/>
      <c r="F54" s="8"/>
    </row>
    <row r="55" spans="3:6" ht="12.75">
      <c r="C55" s="8"/>
      <c r="D55" s="8"/>
      <c r="E55" s="8"/>
      <c r="F55" s="8"/>
    </row>
    <row r="56" spans="3:6" ht="12.75">
      <c r="C56" s="8"/>
      <c r="D56" s="8"/>
      <c r="E56" s="8"/>
      <c r="F56" s="8"/>
    </row>
  </sheetData>
  <sheetProtection/>
  <mergeCells count="10">
    <mergeCell ref="F5:F6"/>
    <mergeCell ref="A1:G1"/>
    <mergeCell ref="A2:G2"/>
    <mergeCell ref="A3:G3"/>
    <mergeCell ref="A5:A6"/>
    <mergeCell ref="B5:B6"/>
    <mergeCell ref="C5:C6"/>
    <mergeCell ref="D5:D6"/>
    <mergeCell ref="E5:E6"/>
    <mergeCell ref="G5:G6"/>
  </mergeCells>
  <printOptions horizontalCentered="1" verticalCentered="1"/>
  <pageMargins left="0.11811023622047245" right="0.11811023622047245" top="0.5905511811023623" bottom="0.1968503937007874" header="0.5905511811023623" footer="0.1968503937007874"/>
  <pageSetup horizontalDpi="600" verticalDpi="600" orientation="landscape" paperSize="9" scale="60" r:id="rId1"/>
  <rowBreaks count="1" manualBreakCount="1">
    <brk id="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64"/>
  <sheetViews>
    <sheetView tabSelected="1" zoomScalePageLayoutView="0" workbookViewId="0" topLeftCell="A1">
      <selection activeCell="A1" sqref="A1:IV16384"/>
    </sheetView>
  </sheetViews>
  <sheetFormatPr defaultColWidth="9.125" defaultRowHeight="12.75"/>
  <cols>
    <col min="1" max="1" width="84.00390625" style="202" customWidth="1"/>
    <col min="2" max="2" width="8.125" style="202" customWidth="1"/>
    <col min="3" max="3" width="9.50390625" style="202" customWidth="1"/>
    <col min="4" max="4" width="14.50390625" style="202" customWidth="1"/>
    <col min="5" max="5" width="15.00390625" style="202" customWidth="1"/>
    <col min="6" max="6" width="13.50390625" style="104" customWidth="1"/>
    <col min="7" max="8" width="13.625" style="104" hidden="1" customWidth="1"/>
    <col min="9" max="9" width="12.00390625" style="104" hidden="1" customWidth="1"/>
    <col min="10" max="10" width="15.625" style="104" customWidth="1"/>
    <col min="11" max="11" width="16.00390625" style="104" customWidth="1"/>
    <col min="12" max="12" width="13.50390625" style="104" customWidth="1"/>
    <col min="13" max="13" width="10.375" style="104" customWidth="1"/>
    <col min="14" max="14" width="10.125" style="104" customWidth="1"/>
    <col min="15" max="15" width="10.50390625" style="104" customWidth="1"/>
    <col min="16" max="16" width="9.875" style="104" hidden="1" customWidth="1"/>
    <col min="17" max="17" width="9.00390625" style="104" hidden="1" customWidth="1"/>
    <col min="18" max="18" width="10.625" style="104" hidden="1" customWidth="1"/>
    <col min="19" max="16384" width="9.125" style="105" customWidth="1"/>
  </cols>
  <sheetData>
    <row r="1" spans="1:15" ht="17.25">
      <c r="A1" s="103" t="s">
        <v>92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18" ht="17.25">
      <c r="A2" s="103" t="s">
        <v>93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6"/>
      <c r="Q2" s="105"/>
      <c r="R2" s="105"/>
    </row>
    <row r="3" spans="1:18" ht="17.25">
      <c r="A3" s="103" t="s">
        <v>94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6"/>
      <c r="Q3" s="105"/>
      <c r="R3" s="105"/>
    </row>
    <row r="4" spans="1:18" ht="15.75" thickBot="1">
      <c r="A4" s="107"/>
      <c r="B4" s="107"/>
      <c r="C4" s="107"/>
      <c r="D4" s="107"/>
      <c r="E4" s="107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</row>
    <row r="5" spans="1:18" s="115" customFormat="1" ht="37.5" customHeight="1">
      <c r="A5" s="109" t="s">
        <v>95</v>
      </c>
      <c r="B5" s="110" t="s">
        <v>96</v>
      </c>
      <c r="C5" s="110" t="s">
        <v>97</v>
      </c>
      <c r="D5" s="111" t="s">
        <v>98</v>
      </c>
      <c r="E5" s="111"/>
      <c r="F5" s="111"/>
      <c r="G5" s="111" t="s">
        <v>99</v>
      </c>
      <c r="H5" s="111"/>
      <c r="I5" s="111"/>
      <c r="J5" s="111" t="s">
        <v>100</v>
      </c>
      <c r="K5" s="112"/>
      <c r="L5" s="112"/>
      <c r="M5" s="111" t="s">
        <v>101</v>
      </c>
      <c r="N5" s="112"/>
      <c r="O5" s="113"/>
      <c r="P5" s="114" t="s">
        <v>102</v>
      </c>
      <c r="Q5" s="112"/>
      <c r="R5" s="113"/>
    </row>
    <row r="6" spans="1:18" s="115" customFormat="1" ht="15">
      <c r="A6" s="116"/>
      <c r="B6" s="117"/>
      <c r="C6" s="118"/>
      <c r="D6" s="119" t="s">
        <v>103</v>
      </c>
      <c r="E6" s="120" t="s">
        <v>104</v>
      </c>
      <c r="F6" s="121"/>
      <c r="G6" s="119" t="s">
        <v>103</v>
      </c>
      <c r="H6" s="120" t="s">
        <v>104</v>
      </c>
      <c r="I6" s="121"/>
      <c r="J6" s="119" t="s">
        <v>103</v>
      </c>
      <c r="K6" s="120" t="s">
        <v>104</v>
      </c>
      <c r="L6" s="121"/>
      <c r="M6" s="119" t="s">
        <v>103</v>
      </c>
      <c r="N6" s="120" t="s">
        <v>104</v>
      </c>
      <c r="O6" s="122"/>
      <c r="P6" s="123" t="s">
        <v>103</v>
      </c>
      <c r="Q6" s="120" t="s">
        <v>104</v>
      </c>
      <c r="R6" s="122"/>
    </row>
    <row r="7" spans="1:18" s="115" customFormat="1" ht="78" thickBot="1">
      <c r="A7" s="124"/>
      <c r="B7" s="125"/>
      <c r="C7" s="126"/>
      <c r="D7" s="125"/>
      <c r="E7" s="127" t="s">
        <v>105</v>
      </c>
      <c r="F7" s="127" t="s">
        <v>106</v>
      </c>
      <c r="G7" s="126"/>
      <c r="H7" s="127" t="s">
        <v>105</v>
      </c>
      <c r="I7" s="127" t="s">
        <v>106</v>
      </c>
      <c r="J7" s="126"/>
      <c r="K7" s="127" t="s">
        <v>105</v>
      </c>
      <c r="L7" s="127" t="s">
        <v>106</v>
      </c>
      <c r="M7" s="126"/>
      <c r="N7" s="127" t="s">
        <v>105</v>
      </c>
      <c r="O7" s="128" t="s">
        <v>106</v>
      </c>
      <c r="P7" s="129"/>
      <c r="Q7" s="127" t="s">
        <v>105</v>
      </c>
      <c r="R7" s="128" t="s">
        <v>106</v>
      </c>
    </row>
    <row r="8" spans="1:18" s="134" customFormat="1" ht="9.75">
      <c r="A8" s="130">
        <v>1</v>
      </c>
      <c r="B8" s="131">
        <v>2</v>
      </c>
      <c r="C8" s="131">
        <v>3</v>
      </c>
      <c r="D8" s="131">
        <v>4</v>
      </c>
      <c r="E8" s="131">
        <v>5</v>
      </c>
      <c r="F8" s="131">
        <v>6</v>
      </c>
      <c r="G8" s="131"/>
      <c r="H8" s="131"/>
      <c r="I8" s="131"/>
      <c r="J8" s="131">
        <v>7</v>
      </c>
      <c r="K8" s="131">
        <v>8</v>
      </c>
      <c r="L8" s="131">
        <v>9</v>
      </c>
      <c r="M8" s="131">
        <v>10</v>
      </c>
      <c r="N8" s="131">
        <v>11</v>
      </c>
      <c r="O8" s="132">
        <v>12</v>
      </c>
      <c r="P8" s="133">
        <v>10</v>
      </c>
      <c r="Q8" s="131">
        <v>11</v>
      </c>
      <c r="R8" s="132">
        <v>12</v>
      </c>
    </row>
    <row r="9" spans="1:18" s="141" customFormat="1" ht="15">
      <c r="A9" s="135" t="s">
        <v>107</v>
      </c>
      <c r="B9" s="136" t="s">
        <v>108</v>
      </c>
      <c r="C9" s="136" t="s">
        <v>109</v>
      </c>
      <c r="D9" s="137">
        <f aca="true" t="shared" si="0" ref="D9:L9">SUM(D10:D15)</f>
        <v>1339052.14</v>
      </c>
      <c r="E9" s="137">
        <f t="shared" si="0"/>
        <v>1339052.14</v>
      </c>
      <c r="F9" s="137">
        <f t="shared" si="0"/>
        <v>0</v>
      </c>
      <c r="G9" s="137">
        <f>SUM(G10:G15)</f>
        <v>841218.9</v>
      </c>
      <c r="H9" s="137">
        <f>SUM(H10:H15)</f>
        <v>841181.9</v>
      </c>
      <c r="I9" s="137">
        <f t="shared" si="0"/>
        <v>37</v>
      </c>
      <c r="J9" s="137">
        <f t="shared" si="0"/>
        <v>387308.33999999997</v>
      </c>
      <c r="K9" s="137">
        <f t="shared" si="0"/>
        <v>387308.33999999997</v>
      </c>
      <c r="L9" s="137">
        <f t="shared" si="0"/>
        <v>0</v>
      </c>
      <c r="M9" s="138">
        <f>SUM(J9/D9)*100</f>
        <v>28.924067139013722</v>
      </c>
      <c r="N9" s="138">
        <f>SUM(K9/E9)*100</f>
        <v>28.924067139013722</v>
      </c>
      <c r="O9" s="139">
        <v>0</v>
      </c>
      <c r="P9" s="140">
        <f>SUM(J9/G9)*100</f>
        <v>46.04132646092473</v>
      </c>
      <c r="Q9" s="138">
        <f>SUM(K9/H9)*100</f>
        <v>46.04335162228288</v>
      </c>
      <c r="R9" s="138">
        <v>0</v>
      </c>
    </row>
    <row r="10" spans="1:18" s="149" customFormat="1" ht="30.75">
      <c r="A10" s="142" t="s">
        <v>110</v>
      </c>
      <c r="B10" s="143" t="s">
        <v>108</v>
      </c>
      <c r="C10" s="144" t="s">
        <v>111</v>
      </c>
      <c r="D10" s="145">
        <v>37315.31</v>
      </c>
      <c r="E10" s="145">
        <f aca="true" t="shared" si="1" ref="E10:E15">D10-F10</f>
        <v>37315.31</v>
      </c>
      <c r="F10" s="145"/>
      <c r="G10" s="145">
        <f>4208-102</f>
        <v>4106</v>
      </c>
      <c r="H10" s="145">
        <f>G10-I10</f>
        <v>4106</v>
      </c>
      <c r="I10" s="145"/>
      <c r="J10" s="145">
        <v>11491.62</v>
      </c>
      <c r="K10" s="145">
        <f>J10-L10</f>
        <v>11491.62</v>
      </c>
      <c r="L10" s="145"/>
      <c r="M10" s="146">
        <f aca="true" t="shared" si="2" ref="M10:N15">(J10/D10)*100</f>
        <v>30.795992315218612</v>
      </c>
      <c r="N10" s="146">
        <f t="shared" si="2"/>
        <v>30.795992315218612</v>
      </c>
      <c r="O10" s="147"/>
      <c r="P10" s="148">
        <f>(J10/G10)*100</f>
        <v>279.87384315635654</v>
      </c>
      <c r="Q10" s="146">
        <f>(K10/H10)*100</f>
        <v>279.87384315635654</v>
      </c>
      <c r="R10" s="147"/>
    </row>
    <row r="11" spans="1:18" s="149" customFormat="1" ht="46.5">
      <c r="A11" s="150" t="s">
        <v>112</v>
      </c>
      <c r="B11" s="143" t="s">
        <v>108</v>
      </c>
      <c r="C11" s="144" t="s">
        <v>113</v>
      </c>
      <c r="D11" s="145">
        <v>830201.59</v>
      </c>
      <c r="E11" s="145">
        <f t="shared" si="1"/>
        <v>830201.59</v>
      </c>
      <c r="F11" s="145"/>
      <c r="G11" s="145">
        <f>657635.8-84467.5</f>
        <v>573168.3</v>
      </c>
      <c r="H11" s="145">
        <f aca="true" t="shared" si="3" ref="H11:H52">G11-I11</f>
        <v>573168.3</v>
      </c>
      <c r="I11" s="145"/>
      <c r="J11" s="145">
        <v>275158.05</v>
      </c>
      <c r="K11" s="145">
        <f aca="true" t="shared" si="4" ref="K11:K57">J11-L11</f>
        <v>275158.05</v>
      </c>
      <c r="L11" s="145"/>
      <c r="M11" s="146">
        <f t="shared" si="2"/>
        <v>33.143522406407335</v>
      </c>
      <c r="N11" s="146">
        <f t="shared" si="2"/>
        <v>33.143522406407335</v>
      </c>
      <c r="O11" s="147"/>
      <c r="P11" s="148">
        <f>(J11/G11)*100</f>
        <v>48.00650175524361</v>
      </c>
      <c r="Q11" s="146">
        <f>(K11/H11)*100</f>
        <v>48.00650175524361</v>
      </c>
      <c r="R11" s="147"/>
    </row>
    <row r="12" spans="1:18" s="149" customFormat="1" ht="15">
      <c r="A12" s="151" t="s">
        <v>114</v>
      </c>
      <c r="B12" s="143" t="s">
        <v>108</v>
      </c>
      <c r="C12" s="144" t="s">
        <v>115</v>
      </c>
      <c r="D12" s="145">
        <v>673.9</v>
      </c>
      <c r="E12" s="145">
        <f t="shared" si="1"/>
        <v>673.9</v>
      </c>
      <c r="F12" s="145"/>
      <c r="G12" s="145"/>
      <c r="H12" s="145"/>
      <c r="I12" s="145"/>
      <c r="J12" s="145">
        <v>0</v>
      </c>
      <c r="K12" s="145">
        <f t="shared" si="4"/>
        <v>0</v>
      </c>
      <c r="L12" s="145"/>
      <c r="M12" s="146">
        <f t="shared" si="2"/>
        <v>0</v>
      </c>
      <c r="N12" s="146">
        <f>(K12/E12)*100</f>
        <v>0</v>
      </c>
      <c r="O12" s="147"/>
      <c r="P12" s="148"/>
      <c r="Q12" s="146"/>
      <c r="R12" s="147"/>
    </row>
    <row r="13" spans="1:18" s="149" customFormat="1" ht="30.75">
      <c r="A13" s="150" t="s">
        <v>116</v>
      </c>
      <c r="B13" s="143" t="s">
        <v>108</v>
      </c>
      <c r="C13" s="144" t="s">
        <v>117</v>
      </c>
      <c r="D13" s="145">
        <v>15606.32</v>
      </c>
      <c r="E13" s="145">
        <f t="shared" si="1"/>
        <v>15606.32</v>
      </c>
      <c r="F13" s="145"/>
      <c r="G13" s="145">
        <f>7852.3-907.2</f>
        <v>6945.1</v>
      </c>
      <c r="H13" s="145">
        <f t="shared" si="3"/>
        <v>6945.1</v>
      </c>
      <c r="I13" s="145"/>
      <c r="J13" s="145">
        <v>3664.24</v>
      </c>
      <c r="K13" s="145">
        <f t="shared" si="4"/>
        <v>3664.24</v>
      </c>
      <c r="L13" s="145"/>
      <c r="M13" s="146">
        <f t="shared" si="2"/>
        <v>23.47920586018997</v>
      </c>
      <c r="N13" s="146">
        <f t="shared" si="2"/>
        <v>23.47920586018997</v>
      </c>
      <c r="O13" s="147"/>
      <c r="P13" s="148">
        <f aca="true" t="shared" si="5" ref="P13:Q15">(J13/G13)*100</f>
        <v>52.76007544887762</v>
      </c>
      <c r="Q13" s="146">
        <f t="shared" si="5"/>
        <v>52.76007544887762</v>
      </c>
      <c r="R13" s="147"/>
    </row>
    <row r="14" spans="1:18" s="149" customFormat="1" ht="15">
      <c r="A14" s="150" t="s">
        <v>118</v>
      </c>
      <c r="B14" s="143" t="s">
        <v>108</v>
      </c>
      <c r="C14" s="144" t="s">
        <v>119</v>
      </c>
      <c r="D14" s="145">
        <v>33473.32</v>
      </c>
      <c r="E14" s="145">
        <f t="shared" si="1"/>
        <v>33473.32</v>
      </c>
      <c r="F14" s="145"/>
      <c r="G14" s="145">
        <f>41503.8-26190.6</f>
        <v>15313.200000000004</v>
      </c>
      <c r="H14" s="145">
        <f t="shared" si="3"/>
        <v>15313.200000000004</v>
      </c>
      <c r="I14" s="145"/>
      <c r="J14" s="145">
        <v>0</v>
      </c>
      <c r="K14" s="145">
        <f t="shared" si="4"/>
        <v>0</v>
      </c>
      <c r="L14" s="145"/>
      <c r="M14" s="146">
        <f t="shared" si="2"/>
        <v>0</v>
      </c>
      <c r="N14" s="146">
        <f t="shared" si="2"/>
        <v>0</v>
      </c>
      <c r="O14" s="147"/>
      <c r="P14" s="148">
        <f t="shared" si="5"/>
        <v>0</v>
      </c>
      <c r="Q14" s="146">
        <f t="shared" si="5"/>
        <v>0</v>
      </c>
      <c r="R14" s="147"/>
    </row>
    <row r="15" spans="1:18" s="149" customFormat="1" ht="15">
      <c r="A15" s="150" t="s">
        <v>120</v>
      </c>
      <c r="B15" s="143" t="s">
        <v>108</v>
      </c>
      <c r="C15" s="144" t="s">
        <v>121</v>
      </c>
      <c r="D15" s="145">
        <v>421781.7</v>
      </c>
      <c r="E15" s="145">
        <f t="shared" si="1"/>
        <v>421781.7</v>
      </c>
      <c r="F15" s="145"/>
      <c r="G15" s="145">
        <f>308152.2-66465.9</f>
        <v>241686.30000000002</v>
      </c>
      <c r="H15" s="145">
        <f t="shared" si="3"/>
        <v>241649.30000000002</v>
      </c>
      <c r="I15" s="145">
        <v>37</v>
      </c>
      <c r="J15" s="145">
        <v>96994.43</v>
      </c>
      <c r="K15" s="145">
        <f t="shared" si="4"/>
        <v>96994.43</v>
      </c>
      <c r="L15" s="145"/>
      <c r="M15" s="146">
        <f t="shared" si="2"/>
        <v>22.996358068640717</v>
      </c>
      <c r="N15" s="146">
        <f t="shared" si="2"/>
        <v>22.996358068640717</v>
      </c>
      <c r="O15" s="147"/>
      <c r="P15" s="148">
        <f t="shared" si="5"/>
        <v>40.132365798144114</v>
      </c>
      <c r="Q15" s="146">
        <f t="shared" si="5"/>
        <v>40.13851064331657</v>
      </c>
      <c r="R15" s="147">
        <f>ROUND(L15/I15*100,1)</f>
        <v>0</v>
      </c>
    </row>
    <row r="16" spans="1:18" s="149" customFormat="1" ht="30.75">
      <c r="A16" s="135" t="s">
        <v>122</v>
      </c>
      <c r="B16" s="136" t="s">
        <v>123</v>
      </c>
      <c r="C16" s="136" t="s">
        <v>109</v>
      </c>
      <c r="D16" s="137">
        <f aca="true" t="shared" si="6" ref="D16:L16">SUM(D17:D19)</f>
        <v>87276.14</v>
      </c>
      <c r="E16" s="137">
        <f t="shared" si="6"/>
        <v>87276.14</v>
      </c>
      <c r="F16" s="137">
        <f t="shared" si="6"/>
        <v>0</v>
      </c>
      <c r="G16" s="137">
        <f t="shared" si="6"/>
        <v>566186.2</v>
      </c>
      <c r="H16" s="137">
        <f t="shared" si="6"/>
        <v>566186.2</v>
      </c>
      <c r="I16" s="137">
        <f t="shared" si="6"/>
        <v>0</v>
      </c>
      <c r="J16" s="137">
        <f t="shared" si="6"/>
        <v>13362.98</v>
      </c>
      <c r="K16" s="137">
        <f t="shared" si="6"/>
        <v>13362.98</v>
      </c>
      <c r="L16" s="137">
        <f t="shared" si="6"/>
        <v>0</v>
      </c>
      <c r="M16" s="138">
        <f>SUM(J16/D16)*100</f>
        <v>15.311149186937001</v>
      </c>
      <c r="N16" s="138">
        <f>SUM(K16/E16)*100</f>
        <v>15.311149186937001</v>
      </c>
      <c r="O16" s="139">
        <v>0</v>
      </c>
      <c r="P16" s="140">
        <f>SUM(J16/G16)*100</f>
        <v>2.360174091138216</v>
      </c>
      <c r="Q16" s="138">
        <f>SUM(K16/H16)*100</f>
        <v>2.360174091138216</v>
      </c>
      <c r="R16" s="139">
        <v>0</v>
      </c>
    </row>
    <row r="17" spans="1:18" s="149" customFormat="1" ht="15">
      <c r="A17" s="142" t="s">
        <v>124</v>
      </c>
      <c r="B17" s="143" t="s">
        <v>123</v>
      </c>
      <c r="C17" s="144" t="s">
        <v>113</v>
      </c>
      <c r="D17" s="152">
        <v>23450.8</v>
      </c>
      <c r="E17" s="145">
        <f>D17-F17</f>
        <v>23450.8</v>
      </c>
      <c r="F17" s="152"/>
      <c r="G17" s="152">
        <f>699913.7-155694.1</f>
        <v>544219.6</v>
      </c>
      <c r="H17" s="145">
        <f t="shared" si="3"/>
        <v>544219.6</v>
      </c>
      <c r="I17" s="152"/>
      <c r="J17" s="145">
        <v>5420.94</v>
      </c>
      <c r="K17" s="145">
        <f t="shared" si="4"/>
        <v>5420.94</v>
      </c>
      <c r="L17" s="145"/>
      <c r="M17" s="146">
        <f aca="true" t="shared" si="7" ref="M17:N19">(J17/D17)*100</f>
        <v>23.116226312108754</v>
      </c>
      <c r="N17" s="146">
        <f t="shared" si="7"/>
        <v>23.116226312108754</v>
      </c>
      <c r="O17" s="147"/>
      <c r="P17" s="148">
        <f>(J17/G17)*100</f>
        <v>0.9960942237288035</v>
      </c>
      <c r="Q17" s="146">
        <f>(K17/H17)*100</f>
        <v>0.9960942237288035</v>
      </c>
      <c r="R17" s="147"/>
    </row>
    <row r="18" spans="1:18" s="149" customFormat="1" ht="30.75">
      <c r="A18" s="142" t="s">
        <v>125</v>
      </c>
      <c r="B18" s="143" t="s">
        <v>123</v>
      </c>
      <c r="C18" s="144" t="s">
        <v>126</v>
      </c>
      <c r="D18" s="152">
        <v>39795.14</v>
      </c>
      <c r="E18" s="145">
        <f>D18-F18</f>
        <v>39795.14</v>
      </c>
      <c r="F18" s="152"/>
      <c r="G18" s="152">
        <f>29154.7-7188.1</f>
        <v>21966.6</v>
      </c>
      <c r="H18" s="145">
        <f t="shared" si="3"/>
        <v>21966.6</v>
      </c>
      <c r="I18" s="152"/>
      <c r="J18" s="145">
        <v>7942.04</v>
      </c>
      <c r="K18" s="145">
        <f t="shared" si="4"/>
        <v>7942.04</v>
      </c>
      <c r="L18" s="145"/>
      <c r="M18" s="146">
        <f t="shared" si="7"/>
        <v>19.95731137018239</v>
      </c>
      <c r="N18" s="146">
        <f t="shared" si="7"/>
        <v>19.95731137018239</v>
      </c>
      <c r="O18" s="147"/>
      <c r="P18" s="148">
        <f>(J18/G18)*100</f>
        <v>36.155071790809686</v>
      </c>
      <c r="Q18" s="146">
        <f>(K18/H18)*100</f>
        <v>36.155071790809686</v>
      </c>
      <c r="R18" s="147"/>
    </row>
    <row r="19" spans="1:18" s="149" customFormat="1" ht="30.75">
      <c r="A19" s="142" t="s">
        <v>127</v>
      </c>
      <c r="B19" s="143" t="s">
        <v>123</v>
      </c>
      <c r="C19" s="144" t="s">
        <v>128</v>
      </c>
      <c r="D19" s="152">
        <v>24030.2</v>
      </c>
      <c r="E19" s="145">
        <f>D19-F19</f>
        <v>24030.2</v>
      </c>
      <c r="F19" s="152"/>
      <c r="G19" s="152"/>
      <c r="H19" s="145"/>
      <c r="I19" s="152"/>
      <c r="J19" s="145">
        <v>0</v>
      </c>
      <c r="K19" s="145">
        <f t="shared" si="4"/>
        <v>0</v>
      </c>
      <c r="L19" s="145"/>
      <c r="M19" s="146">
        <f t="shared" si="7"/>
        <v>0</v>
      </c>
      <c r="N19" s="146">
        <f t="shared" si="7"/>
        <v>0</v>
      </c>
      <c r="O19" s="147"/>
      <c r="P19" s="148"/>
      <c r="Q19" s="146"/>
      <c r="R19" s="147"/>
    </row>
    <row r="20" spans="1:18" s="149" customFormat="1" ht="15">
      <c r="A20" s="135" t="s">
        <v>129</v>
      </c>
      <c r="B20" s="136" t="s">
        <v>113</v>
      </c>
      <c r="C20" s="136" t="s">
        <v>109</v>
      </c>
      <c r="D20" s="137">
        <f>SUM(D21:D25)</f>
        <v>1369390.71</v>
      </c>
      <c r="E20" s="137">
        <f aca="true" t="shared" si="8" ref="E20:L20">SUM(E21:E25)</f>
        <v>1230473.29</v>
      </c>
      <c r="F20" s="137">
        <f t="shared" si="8"/>
        <v>138917.42</v>
      </c>
      <c r="G20" s="137">
        <f t="shared" si="8"/>
        <v>18852.300000000003</v>
      </c>
      <c r="H20" s="137">
        <f t="shared" si="8"/>
        <v>13451.300000000001</v>
      </c>
      <c r="I20" s="137">
        <f t="shared" si="8"/>
        <v>5401</v>
      </c>
      <c r="J20" s="137">
        <f t="shared" si="8"/>
        <v>252183.41</v>
      </c>
      <c r="K20" s="137">
        <f t="shared" si="8"/>
        <v>248959.19999999998</v>
      </c>
      <c r="L20" s="137">
        <f t="shared" si="8"/>
        <v>3224.21</v>
      </c>
      <c r="M20" s="138">
        <f>SUM(J20/D20)*100</f>
        <v>18.415738339571476</v>
      </c>
      <c r="N20" s="138">
        <f>SUM(K20/E20)*100</f>
        <v>20.232800014700032</v>
      </c>
      <c r="O20" s="138">
        <f>SUM(L20/F20)*100</f>
        <v>2.3209544202591723</v>
      </c>
      <c r="P20" s="140">
        <f>SUM(J20/G20)*100</f>
        <v>1337.6798056470561</v>
      </c>
      <c r="Q20" s="138">
        <f>SUM(K20/H20)*100</f>
        <v>1850.8188799595575</v>
      </c>
      <c r="R20" s="139"/>
    </row>
    <row r="21" spans="1:18" s="160" customFormat="1" ht="15">
      <c r="A21" s="153" t="s">
        <v>130</v>
      </c>
      <c r="B21" s="154" t="s">
        <v>113</v>
      </c>
      <c r="C21" s="154" t="s">
        <v>108</v>
      </c>
      <c r="D21" s="155">
        <v>500</v>
      </c>
      <c r="E21" s="145">
        <f>D21-F21</f>
        <v>500</v>
      </c>
      <c r="F21" s="155"/>
      <c r="G21" s="155"/>
      <c r="H21" s="155"/>
      <c r="I21" s="155"/>
      <c r="J21" s="155">
        <v>0</v>
      </c>
      <c r="K21" s="145">
        <f t="shared" si="4"/>
        <v>0</v>
      </c>
      <c r="L21" s="155"/>
      <c r="M21" s="146">
        <f aca="true" t="shared" si="9" ref="M21:O24">(J21/D21)*100</f>
        <v>0</v>
      </c>
      <c r="N21" s="146">
        <f t="shared" si="9"/>
        <v>0</v>
      </c>
      <c r="O21" s="156"/>
      <c r="P21" s="157"/>
      <c r="Q21" s="158"/>
      <c r="R21" s="159"/>
    </row>
    <row r="22" spans="1:18" s="149" customFormat="1" ht="15">
      <c r="A22" s="150" t="s">
        <v>131</v>
      </c>
      <c r="B22" s="143" t="s">
        <v>113</v>
      </c>
      <c r="C22" s="144" t="s">
        <v>115</v>
      </c>
      <c r="D22" s="145">
        <v>42236</v>
      </c>
      <c r="E22" s="145">
        <f>D22-F22</f>
        <v>42236</v>
      </c>
      <c r="F22" s="145"/>
      <c r="G22" s="145">
        <f>2583.6</f>
        <v>2583.6</v>
      </c>
      <c r="H22" s="145">
        <f t="shared" si="3"/>
        <v>2583.6</v>
      </c>
      <c r="I22" s="145"/>
      <c r="J22" s="145">
        <v>10404.48</v>
      </c>
      <c r="K22" s="145">
        <f t="shared" si="4"/>
        <v>10404.48</v>
      </c>
      <c r="L22" s="145"/>
      <c r="M22" s="146">
        <f t="shared" si="9"/>
        <v>24.63415096126527</v>
      </c>
      <c r="N22" s="146">
        <f t="shared" si="9"/>
        <v>24.63415096126527</v>
      </c>
      <c r="O22" s="147"/>
      <c r="P22" s="148">
        <f aca="true" t="shared" si="10" ref="P22:Q25">(J22/G22)*100</f>
        <v>402.7124941941477</v>
      </c>
      <c r="Q22" s="146">
        <f t="shared" si="10"/>
        <v>402.7124941941477</v>
      </c>
      <c r="R22" s="147"/>
    </row>
    <row r="23" spans="1:18" s="149" customFormat="1" ht="15">
      <c r="A23" s="150" t="s">
        <v>132</v>
      </c>
      <c r="B23" s="143" t="s">
        <v>113</v>
      </c>
      <c r="C23" s="144" t="s">
        <v>133</v>
      </c>
      <c r="D23" s="145">
        <v>413583.2</v>
      </c>
      <c r="E23" s="145">
        <f>D23-F23</f>
        <v>413583.2</v>
      </c>
      <c r="F23" s="145"/>
      <c r="G23" s="145">
        <f>10534-5133</f>
        <v>5401</v>
      </c>
      <c r="H23" s="145">
        <f t="shared" si="3"/>
        <v>0</v>
      </c>
      <c r="I23" s="145">
        <f>10534-5133</f>
        <v>5401</v>
      </c>
      <c r="J23" s="145">
        <v>118660.4</v>
      </c>
      <c r="K23" s="145">
        <f t="shared" si="4"/>
        <v>118660.4</v>
      </c>
      <c r="L23" s="145"/>
      <c r="M23" s="146">
        <f t="shared" si="9"/>
        <v>28.690817228552802</v>
      </c>
      <c r="N23" s="146">
        <f t="shared" si="9"/>
        <v>28.690817228552802</v>
      </c>
      <c r="O23" s="147"/>
      <c r="P23" s="148">
        <f t="shared" si="10"/>
        <v>2197.007961488613</v>
      </c>
      <c r="Q23" s="146">
        <v>0</v>
      </c>
      <c r="R23" s="147">
        <f>ROUND(L23/I23*100,1)</f>
        <v>0</v>
      </c>
    </row>
    <row r="24" spans="1:18" s="149" customFormat="1" ht="15">
      <c r="A24" s="150" t="s">
        <v>134</v>
      </c>
      <c r="B24" s="143" t="s">
        <v>113</v>
      </c>
      <c r="C24" s="144" t="s">
        <v>126</v>
      </c>
      <c r="D24" s="145">
        <v>829730.71</v>
      </c>
      <c r="E24" s="145">
        <f>D24-F24</f>
        <v>690813.2899999999</v>
      </c>
      <c r="F24" s="145">
        <v>138917.42</v>
      </c>
      <c r="G24" s="145"/>
      <c r="H24" s="145"/>
      <c r="I24" s="145"/>
      <c r="J24" s="145">
        <v>121604.25</v>
      </c>
      <c r="K24" s="145">
        <f t="shared" si="4"/>
        <v>118380.04</v>
      </c>
      <c r="L24" s="145">
        <v>3224.21</v>
      </c>
      <c r="M24" s="146">
        <f>(J24/D24)*100</f>
        <v>14.655869492886433</v>
      </c>
      <c r="N24" s="146">
        <f t="shared" si="9"/>
        <v>17.136329267782326</v>
      </c>
      <c r="O24" s="146">
        <f t="shared" si="9"/>
        <v>2.3209544202591723</v>
      </c>
      <c r="P24" s="148"/>
      <c r="Q24" s="146"/>
      <c r="R24" s="147"/>
    </row>
    <row r="25" spans="1:18" s="149" customFormat="1" ht="15">
      <c r="A25" s="150" t="s">
        <v>135</v>
      </c>
      <c r="B25" s="143" t="s">
        <v>113</v>
      </c>
      <c r="C25" s="144" t="s">
        <v>136</v>
      </c>
      <c r="D25" s="145">
        <v>83340.8</v>
      </c>
      <c r="E25" s="145">
        <f>D25-F25</f>
        <v>83340.8</v>
      </c>
      <c r="F25" s="145"/>
      <c r="G25" s="145">
        <f>15316.7-4449</f>
        <v>10867.7</v>
      </c>
      <c r="H25" s="145">
        <f t="shared" si="3"/>
        <v>10867.7</v>
      </c>
      <c r="I25" s="145"/>
      <c r="J25" s="145">
        <v>1514.28</v>
      </c>
      <c r="K25" s="145">
        <f t="shared" si="4"/>
        <v>1514.28</v>
      </c>
      <c r="L25" s="145"/>
      <c r="M25" s="146">
        <f>(J25/D25)*100</f>
        <v>1.8169731992013514</v>
      </c>
      <c r="N25" s="146">
        <f>(K25/E25)*100</f>
        <v>1.8169731992013514</v>
      </c>
      <c r="O25" s="147"/>
      <c r="P25" s="148">
        <f t="shared" si="10"/>
        <v>13.933767034423106</v>
      </c>
      <c r="Q25" s="146">
        <f t="shared" si="10"/>
        <v>13.933767034423106</v>
      </c>
      <c r="R25" s="147"/>
    </row>
    <row r="26" spans="1:18" s="149" customFormat="1" ht="15">
      <c r="A26" s="135" t="s">
        <v>137</v>
      </c>
      <c r="B26" s="136" t="s">
        <v>115</v>
      </c>
      <c r="C26" s="136" t="s">
        <v>109</v>
      </c>
      <c r="D26" s="137">
        <f aca="true" t="shared" si="11" ref="D26:L26">SUM(D27:D30)</f>
        <v>1188163.02</v>
      </c>
      <c r="E26" s="137">
        <f t="shared" si="11"/>
        <v>766915.1399999999</v>
      </c>
      <c r="F26" s="137">
        <f t="shared" si="11"/>
        <v>421247.88</v>
      </c>
      <c r="G26" s="137">
        <f>SUM(G27:G30)</f>
        <v>1419171.2999999998</v>
      </c>
      <c r="H26" s="137">
        <f>SUM(H27:H30)</f>
        <v>903762.8999999999</v>
      </c>
      <c r="I26" s="137">
        <f>SUM(I27:I30)</f>
        <v>515408.39999999997</v>
      </c>
      <c r="J26" s="137">
        <f t="shared" si="11"/>
        <v>185788.9</v>
      </c>
      <c r="K26" s="137">
        <f t="shared" si="11"/>
        <v>142435.14</v>
      </c>
      <c r="L26" s="137">
        <f t="shared" si="11"/>
        <v>43353.76</v>
      </c>
      <c r="M26" s="138">
        <f>SUM(J26/D26)*100</f>
        <v>15.636650600352803</v>
      </c>
      <c r="N26" s="138">
        <f>SUM(K26/E26)*100</f>
        <v>18.572477262608224</v>
      </c>
      <c r="O26" s="161">
        <f>ROUND(L26/F26*100,1)</f>
        <v>10.3</v>
      </c>
      <c r="P26" s="140">
        <f>SUM(J26/G26)*100</f>
        <v>13.091365362306865</v>
      </c>
      <c r="Q26" s="138">
        <f>SUM(K26/H26)*100</f>
        <v>15.76023313194202</v>
      </c>
      <c r="R26" s="139">
        <f>SUM(L26/I26)*100</f>
        <v>8.411535396008292</v>
      </c>
    </row>
    <row r="27" spans="1:18" s="163" customFormat="1" ht="15">
      <c r="A27" s="162" t="s">
        <v>138</v>
      </c>
      <c r="B27" s="143" t="s">
        <v>115</v>
      </c>
      <c r="C27" s="144" t="s">
        <v>108</v>
      </c>
      <c r="D27" s="152">
        <v>553294.72</v>
      </c>
      <c r="E27" s="145">
        <f>D27-F27</f>
        <v>553294.72</v>
      </c>
      <c r="F27" s="152"/>
      <c r="G27" s="152">
        <f>732293.7-208085.1</f>
        <v>524208.6</v>
      </c>
      <c r="H27" s="145">
        <f t="shared" si="3"/>
        <v>322551.5</v>
      </c>
      <c r="I27" s="152">
        <f>279086.6-77429.5</f>
        <v>201657.09999999998</v>
      </c>
      <c r="J27" s="145">
        <v>121690.46</v>
      </c>
      <c r="K27" s="145">
        <f t="shared" si="4"/>
        <v>121690.46</v>
      </c>
      <c r="L27" s="145"/>
      <c r="M27" s="146">
        <f>(J27/D27)*100</f>
        <v>21.993786602554245</v>
      </c>
      <c r="N27" s="146">
        <f aca="true" t="shared" si="12" ref="N27:O32">(K27/E27)*100</f>
        <v>21.993786602554245</v>
      </c>
      <c r="O27" s="147"/>
      <c r="P27" s="148">
        <f aca="true" t="shared" si="13" ref="P27:Q30">(J27/G27)*100</f>
        <v>23.214128879228614</v>
      </c>
      <c r="Q27" s="146">
        <f t="shared" si="13"/>
        <v>37.72745127522272</v>
      </c>
      <c r="R27" s="147">
        <f>ROUND(L27/I27*100,1)</f>
        <v>0</v>
      </c>
    </row>
    <row r="28" spans="1:18" s="164" customFormat="1" ht="15">
      <c r="A28" s="150" t="s">
        <v>139</v>
      </c>
      <c r="B28" s="143" t="s">
        <v>115</v>
      </c>
      <c r="C28" s="144" t="s">
        <v>111</v>
      </c>
      <c r="D28" s="152">
        <v>481144.72</v>
      </c>
      <c r="E28" s="145">
        <f>D28-F28</f>
        <v>64016.669999999984</v>
      </c>
      <c r="F28" s="152">
        <v>417128.05</v>
      </c>
      <c r="G28" s="152">
        <f>512955.2-109671.6</f>
        <v>403283.6</v>
      </c>
      <c r="H28" s="145">
        <f t="shared" si="3"/>
        <v>100385.5</v>
      </c>
      <c r="I28" s="152">
        <f>403712.7-100814.6</f>
        <v>302898.1</v>
      </c>
      <c r="J28" s="145">
        <v>45332.47</v>
      </c>
      <c r="K28" s="145">
        <f t="shared" si="4"/>
        <v>1978.7099999999991</v>
      </c>
      <c r="L28" s="145">
        <v>43353.76</v>
      </c>
      <c r="M28" s="146">
        <f>(J28/D28)*100</f>
        <v>9.42179517214696</v>
      </c>
      <c r="N28" s="146">
        <f t="shared" si="12"/>
        <v>3.090929284512924</v>
      </c>
      <c r="O28" s="147">
        <f t="shared" si="12"/>
        <v>10.393393587412787</v>
      </c>
      <c r="P28" s="148">
        <f t="shared" si="13"/>
        <v>11.240841432679138</v>
      </c>
      <c r="Q28" s="146">
        <f t="shared" si="13"/>
        <v>1.9711113656852826</v>
      </c>
      <c r="R28" s="147">
        <f>ROUND(L28/I28*100,1)</f>
        <v>14.3</v>
      </c>
    </row>
    <row r="29" spans="1:18" s="164" customFormat="1" ht="15">
      <c r="A29" s="150" t="s">
        <v>140</v>
      </c>
      <c r="B29" s="143" t="s">
        <v>115</v>
      </c>
      <c r="C29" s="144" t="s">
        <v>123</v>
      </c>
      <c r="D29" s="152">
        <v>152825.83</v>
      </c>
      <c r="E29" s="145">
        <f>D29-F29</f>
        <v>148706</v>
      </c>
      <c r="F29" s="152">
        <v>4119.83</v>
      </c>
      <c r="G29" s="152">
        <f>659134.5-167555.4</f>
        <v>491579.1</v>
      </c>
      <c r="H29" s="145">
        <f>G29-I29</f>
        <v>480725.89999999997</v>
      </c>
      <c r="I29" s="152">
        <f>45146.6-34293.4</f>
        <v>10853.199999999997</v>
      </c>
      <c r="J29" s="145">
        <v>18765.97</v>
      </c>
      <c r="K29" s="145">
        <f>J29-L29</f>
        <v>18765.97</v>
      </c>
      <c r="L29" s="145">
        <v>0</v>
      </c>
      <c r="M29" s="146">
        <f>(J29/D29)*100</f>
        <v>12.279318227815287</v>
      </c>
      <c r="N29" s="146">
        <f t="shared" si="12"/>
        <v>12.61951098139954</v>
      </c>
      <c r="O29" s="147">
        <f t="shared" si="12"/>
        <v>0</v>
      </c>
      <c r="P29" s="148">
        <f t="shared" si="13"/>
        <v>3.817487358596003</v>
      </c>
      <c r="Q29" s="146">
        <f t="shared" si="13"/>
        <v>3.9036735902933466</v>
      </c>
      <c r="R29" s="147">
        <f>ROUND(L29/I29*100,1)</f>
        <v>0</v>
      </c>
    </row>
    <row r="30" spans="1:18" s="164" customFormat="1" ht="15">
      <c r="A30" s="150" t="s">
        <v>141</v>
      </c>
      <c r="B30" s="143" t="s">
        <v>115</v>
      </c>
      <c r="C30" s="144" t="s">
        <v>115</v>
      </c>
      <c r="D30" s="152">
        <v>897.75</v>
      </c>
      <c r="E30" s="145">
        <f>D30-F30</f>
        <v>897.75</v>
      </c>
      <c r="F30" s="152"/>
      <c r="G30" s="152">
        <v>100</v>
      </c>
      <c r="H30" s="145">
        <f>G30-I30</f>
        <v>100</v>
      </c>
      <c r="I30" s="152"/>
      <c r="J30" s="145">
        <v>0</v>
      </c>
      <c r="K30" s="145">
        <f>J30-L30</f>
        <v>0</v>
      </c>
      <c r="L30" s="145"/>
      <c r="M30" s="146">
        <f>(J30/D30)*100</f>
        <v>0</v>
      </c>
      <c r="N30" s="146">
        <f t="shared" si="12"/>
        <v>0</v>
      </c>
      <c r="O30" s="147"/>
      <c r="P30" s="148">
        <f t="shared" si="13"/>
        <v>0</v>
      </c>
      <c r="Q30" s="146">
        <f t="shared" si="13"/>
        <v>0</v>
      </c>
      <c r="R30" s="147"/>
    </row>
    <row r="31" spans="1:18" s="164" customFormat="1" ht="15">
      <c r="A31" s="135" t="s">
        <v>142</v>
      </c>
      <c r="B31" s="165" t="s">
        <v>117</v>
      </c>
      <c r="C31" s="165" t="s">
        <v>109</v>
      </c>
      <c r="D31" s="137">
        <f>D32</f>
        <v>2939</v>
      </c>
      <c r="E31" s="137">
        <f aca="true" t="shared" si="14" ref="E31:L31">E32</f>
        <v>2775</v>
      </c>
      <c r="F31" s="137">
        <f t="shared" si="14"/>
        <v>164</v>
      </c>
      <c r="G31" s="137">
        <f t="shared" si="14"/>
        <v>3039.8</v>
      </c>
      <c r="H31" s="137">
        <f t="shared" si="14"/>
        <v>2942</v>
      </c>
      <c r="I31" s="137">
        <f t="shared" si="14"/>
        <v>97.8</v>
      </c>
      <c r="J31" s="137">
        <f t="shared" si="14"/>
        <v>164</v>
      </c>
      <c r="K31" s="137">
        <f t="shared" si="14"/>
        <v>0</v>
      </c>
      <c r="L31" s="137">
        <f t="shared" si="14"/>
        <v>164</v>
      </c>
      <c r="M31" s="138">
        <f>SUM(J31/D31)*100</f>
        <v>5.580129295678803</v>
      </c>
      <c r="N31" s="138">
        <f>SUM(K31/E31)*100</f>
        <v>0</v>
      </c>
      <c r="O31" s="138">
        <f>SUM(L31/F31)*100</f>
        <v>100</v>
      </c>
      <c r="P31" s="140">
        <f>SUM(J31/G31)*100</f>
        <v>5.395091782354102</v>
      </c>
      <c r="Q31" s="138">
        <f>SUM(K31/H31)*100</f>
        <v>0</v>
      </c>
      <c r="R31" s="138">
        <f>SUM(L31/I31)*100</f>
        <v>167.68916155419222</v>
      </c>
    </row>
    <row r="32" spans="1:18" s="164" customFormat="1" ht="15">
      <c r="A32" s="150" t="s">
        <v>143</v>
      </c>
      <c r="B32" s="143" t="s">
        <v>117</v>
      </c>
      <c r="C32" s="144" t="s">
        <v>115</v>
      </c>
      <c r="D32" s="152">
        <v>2939</v>
      </c>
      <c r="E32" s="145">
        <f>D32-F32</f>
        <v>2775</v>
      </c>
      <c r="F32" s="152">
        <v>164</v>
      </c>
      <c r="G32" s="152">
        <f>3697.8-658</f>
        <v>3039.8</v>
      </c>
      <c r="H32" s="145">
        <f t="shared" si="3"/>
        <v>2942</v>
      </c>
      <c r="I32" s="152">
        <f>97.8</f>
        <v>97.8</v>
      </c>
      <c r="J32" s="145">
        <v>164</v>
      </c>
      <c r="K32" s="145">
        <f>J32-L32</f>
        <v>0</v>
      </c>
      <c r="L32" s="145">
        <v>164</v>
      </c>
      <c r="M32" s="146">
        <f>(J32/D32)*100</f>
        <v>5.580129295678803</v>
      </c>
      <c r="N32" s="146">
        <f>(K32/E32)*100</f>
        <v>0</v>
      </c>
      <c r="O32" s="147">
        <f t="shared" si="12"/>
        <v>100</v>
      </c>
      <c r="P32" s="148">
        <f>(J32/G32)*100</f>
        <v>5.395091782354102</v>
      </c>
      <c r="Q32" s="146">
        <f>(K32/H32)*100</f>
        <v>0</v>
      </c>
      <c r="R32" s="147">
        <f>ROUND(L32/I32*100,1)</f>
        <v>167.7</v>
      </c>
    </row>
    <row r="33" spans="1:18" s="141" customFormat="1" ht="15">
      <c r="A33" s="135" t="s">
        <v>144</v>
      </c>
      <c r="B33" s="136" t="s">
        <v>145</v>
      </c>
      <c r="C33" s="136" t="s">
        <v>109</v>
      </c>
      <c r="D33" s="137">
        <f aca="true" t="shared" si="15" ref="D33:L33">SUM(D34:D37)</f>
        <v>5950689.399999999</v>
      </c>
      <c r="E33" s="137">
        <f t="shared" si="15"/>
        <v>5790278.43</v>
      </c>
      <c r="F33" s="137">
        <f t="shared" si="15"/>
        <v>160410.97</v>
      </c>
      <c r="G33" s="137">
        <f>SUM(G34:G37)</f>
        <v>3476736.2000000007</v>
      </c>
      <c r="H33" s="137">
        <f>SUM(H34:H37)</f>
        <v>3194888.8000000003</v>
      </c>
      <c r="I33" s="137">
        <f>SUM(I34:I37)</f>
        <v>281847.4</v>
      </c>
      <c r="J33" s="137">
        <f t="shared" si="15"/>
        <v>1197014.28</v>
      </c>
      <c r="K33" s="137">
        <f t="shared" si="15"/>
        <v>1196543.72</v>
      </c>
      <c r="L33" s="137">
        <f t="shared" si="15"/>
        <v>470.56</v>
      </c>
      <c r="M33" s="138">
        <f>SUM(J33/D33)*100</f>
        <v>20.11555635889852</v>
      </c>
      <c r="N33" s="138">
        <f>SUM(K33/E33)*100</f>
        <v>20.664700920090297</v>
      </c>
      <c r="O33" s="161">
        <f>ROUND(L33/F33*100,1)</f>
        <v>0.3</v>
      </c>
      <c r="P33" s="140">
        <f>SUM(J33/G33)*100</f>
        <v>34.429252354550215</v>
      </c>
      <c r="Q33" s="138">
        <f>SUM(K33/H33)*100</f>
        <v>37.451811155367906</v>
      </c>
      <c r="R33" s="139">
        <f>SUM(L33/I33)*100</f>
        <v>0.1669555937007047</v>
      </c>
    </row>
    <row r="34" spans="1:18" s="149" customFormat="1" ht="15">
      <c r="A34" s="150" t="s">
        <v>146</v>
      </c>
      <c r="B34" s="143" t="s">
        <v>145</v>
      </c>
      <c r="C34" s="144" t="s">
        <v>108</v>
      </c>
      <c r="D34" s="152">
        <v>2150539.28</v>
      </c>
      <c r="E34" s="145">
        <f>D34-F34</f>
        <v>1995086.2799999998</v>
      </c>
      <c r="F34" s="152">
        <v>155453</v>
      </c>
      <c r="G34" s="152">
        <f>1697163.5-389309.7</f>
        <v>1307853.8</v>
      </c>
      <c r="H34" s="145">
        <f t="shared" si="3"/>
        <v>1079167</v>
      </c>
      <c r="I34" s="152">
        <f>234919.8-6233</f>
        <v>228686.8</v>
      </c>
      <c r="J34" s="145">
        <v>391767.15</v>
      </c>
      <c r="K34" s="145">
        <f t="shared" si="4"/>
        <v>391767.15</v>
      </c>
      <c r="L34" s="145">
        <v>0</v>
      </c>
      <c r="M34" s="146">
        <f>(J34/D34)*100</f>
        <v>18.21715853523029</v>
      </c>
      <c r="N34" s="146">
        <f aca="true" t="shared" si="16" ref="N34:O37">(K34/E34)*100</f>
        <v>19.636601881699075</v>
      </c>
      <c r="O34" s="147">
        <f t="shared" si="16"/>
        <v>0</v>
      </c>
      <c r="P34" s="148">
        <f aca="true" t="shared" si="17" ref="P34:Q37">(J34/G34)*100</f>
        <v>29.954965149774388</v>
      </c>
      <c r="Q34" s="146">
        <f t="shared" si="17"/>
        <v>36.3027362771471</v>
      </c>
      <c r="R34" s="147">
        <f>ROUND(L34/I34*100,1)</f>
        <v>0</v>
      </c>
    </row>
    <row r="35" spans="1:18" s="149" customFormat="1" ht="15">
      <c r="A35" s="150" t="s">
        <v>147</v>
      </c>
      <c r="B35" s="143" t="s">
        <v>145</v>
      </c>
      <c r="C35" s="144" t="s">
        <v>111</v>
      </c>
      <c r="D35" s="152">
        <v>3648928.36</v>
      </c>
      <c r="E35" s="145">
        <f>D35-F35</f>
        <v>3643970.3899999997</v>
      </c>
      <c r="F35" s="152">
        <v>4957.97</v>
      </c>
      <c r="G35" s="152">
        <f>2792394.5-742107.9</f>
        <v>2050286.6</v>
      </c>
      <c r="H35" s="145">
        <f t="shared" si="3"/>
        <v>1997126</v>
      </c>
      <c r="I35" s="152">
        <f>69262.6-16102</f>
        <v>53160.600000000006</v>
      </c>
      <c r="J35" s="145">
        <v>782265.88</v>
      </c>
      <c r="K35" s="145">
        <f t="shared" si="4"/>
        <v>781795.32</v>
      </c>
      <c r="L35" s="145">
        <v>470.56</v>
      </c>
      <c r="M35" s="146">
        <f>(J35/D35)*100</f>
        <v>21.43823618395183</v>
      </c>
      <c r="N35" s="146">
        <f t="shared" si="16"/>
        <v>21.45449156627203</v>
      </c>
      <c r="O35" s="147">
        <f t="shared" si="16"/>
        <v>9.490981187865193</v>
      </c>
      <c r="P35" s="148">
        <f t="shared" si="17"/>
        <v>38.15397710739562</v>
      </c>
      <c r="Q35" s="146">
        <f t="shared" si="17"/>
        <v>39.146018829057354</v>
      </c>
      <c r="R35" s="147">
        <f>ROUND(L35/I35*100,1)</f>
        <v>0.9</v>
      </c>
    </row>
    <row r="36" spans="1:18" s="149" customFormat="1" ht="15">
      <c r="A36" s="150" t="s">
        <v>148</v>
      </c>
      <c r="B36" s="143" t="s">
        <v>145</v>
      </c>
      <c r="C36" s="144" t="s">
        <v>145</v>
      </c>
      <c r="D36" s="152">
        <v>100561.77</v>
      </c>
      <c r="E36" s="145">
        <f>D36-F36</f>
        <v>100561.77</v>
      </c>
      <c r="F36" s="152"/>
      <c r="G36" s="152">
        <f>75136.9-1221.3</f>
        <v>73915.59999999999</v>
      </c>
      <c r="H36" s="145">
        <f t="shared" si="3"/>
        <v>73915.59999999999</v>
      </c>
      <c r="I36" s="152"/>
      <c r="J36" s="145">
        <v>9760.03</v>
      </c>
      <c r="K36" s="145">
        <f t="shared" si="4"/>
        <v>9760.03</v>
      </c>
      <c r="L36" s="145"/>
      <c r="M36" s="146">
        <f>(J36/D36)*100</f>
        <v>9.705507371240582</v>
      </c>
      <c r="N36" s="146">
        <f t="shared" si="16"/>
        <v>9.705507371240582</v>
      </c>
      <c r="O36" s="147"/>
      <c r="P36" s="148">
        <f t="shared" si="17"/>
        <v>13.204289757507212</v>
      </c>
      <c r="Q36" s="146">
        <f t="shared" si="17"/>
        <v>13.204289757507212</v>
      </c>
      <c r="R36" s="147"/>
    </row>
    <row r="37" spans="1:18" s="141" customFormat="1" ht="15">
      <c r="A37" s="150" t="s">
        <v>149</v>
      </c>
      <c r="B37" s="143" t="s">
        <v>145</v>
      </c>
      <c r="C37" s="144" t="s">
        <v>126</v>
      </c>
      <c r="D37" s="152">
        <v>50659.99</v>
      </c>
      <c r="E37" s="145">
        <f>D37-F37</f>
        <v>50659.99</v>
      </c>
      <c r="F37" s="152"/>
      <c r="G37" s="152">
        <f>56534.5-11854.3</f>
        <v>44680.2</v>
      </c>
      <c r="H37" s="145">
        <f t="shared" si="3"/>
        <v>44680.2</v>
      </c>
      <c r="I37" s="152"/>
      <c r="J37" s="145">
        <v>13221.22</v>
      </c>
      <c r="K37" s="145">
        <f t="shared" si="4"/>
        <v>13221.22</v>
      </c>
      <c r="L37" s="145"/>
      <c r="M37" s="146">
        <f>(J37/D37)*100</f>
        <v>26.097952249891875</v>
      </c>
      <c r="N37" s="146">
        <f t="shared" si="16"/>
        <v>26.097952249891875</v>
      </c>
      <c r="O37" s="147"/>
      <c r="P37" s="148">
        <f t="shared" si="17"/>
        <v>29.59078070375692</v>
      </c>
      <c r="Q37" s="146">
        <f t="shared" si="17"/>
        <v>29.59078070375692</v>
      </c>
      <c r="R37" s="147"/>
    </row>
    <row r="38" spans="1:18" s="149" customFormat="1" ht="15">
      <c r="A38" s="135" t="s">
        <v>150</v>
      </c>
      <c r="B38" s="136" t="s">
        <v>133</v>
      </c>
      <c r="C38" s="136" t="s">
        <v>109</v>
      </c>
      <c r="D38" s="137">
        <f aca="true" t="shared" si="18" ref="D38:L38">SUM(D39:D40)</f>
        <v>327413.74</v>
      </c>
      <c r="E38" s="137">
        <f t="shared" si="18"/>
        <v>327413.74</v>
      </c>
      <c r="F38" s="137">
        <f t="shared" si="18"/>
        <v>0</v>
      </c>
      <c r="G38" s="137">
        <f t="shared" si="18"/>
        <v>189175.8</v>
      </c>
      <c r="H38" s="137">
        <f t="shared" si="18"/>
        <v>187934.8</v>
      </c>
      <c r="I38" s="137">
        <f t="shared" si="18"/>
        <v>1241</v>
      </c>
      <c r="J38" s="137">
        <f t="shared" si="18"/>
        <v>72777.65000000001</v>
      </c>
      <c r="K38" s="137">
        <f t="shared" si="18"/>
        <v>72777.65000000001</v>
      </c>
      <c r="L38" s="137">
        <f t="shared" si="18"/>
        <v>0</v>
      </c>
      <c r="M38" s="138">
        <f>SUM(J38/D38)*100</f>
        <v>22.228037833720727</v>
      </c>
      <c r="N38" s="138">
        <f>SUM(K38/E38)*100</f>
        <v>22.228037833720727</v>
      </c>
      <c r="O38" s="161"/>
      <c r="P38" s="140">
        <f>SUM(J38/G38)*100</f>
        <v>38.470909069764744</v>
      </c>
      <c r="Q38" s="138">
        <f>SUM(K38/H38)*100</f>
        <v>38.72494609832772</v>
      </c>
      <c r="R38" s="166">
        <v>0</v>
      </c>
    </row>
    <row r="39" spans="1:18" s="149" customFormat="1" ht="15">
      <c r="A39" s="150" t="s">
        <v>151</v>
      </c>
      <c r="B39" s="143" t="s">
        <v>133</v>
      </c>
      <c r="C39" s="144" t="s">
        <v>108</v>
      </c>
      <c r="D39" s="152">
        <v>324618.64</v>
      </c>
      <c r="E39" s="145">
        <f>D39-F39</f>
        <v>324618.64</v>
      </c>
      <c r="F39" s="152"/>
      <c r="G39" s="152">
        <f>255896.6-68646.8</f>
        <v>187249.8</v>
      </c>
      <c r="H39" s="145">
        <f t="shared" si="3"/>
        <v>186008.8</v>
      </c>
      <c r="I39" s="152">
        <f>7777-6536</f>
        <v>1241</v>
      </c>
      <c r="J39" s="145">
        <v>72228.35</v>
      </c>
      <c r="K39" s="145">
        <f t="shared" si="4"/>
        <v>72228.35</v>
      </c>
      <c r="L39" s="145"/>
      <c r="M39" s="146">
        <f>ROUND(J39/D39*100,1)</f>
        <v>22.3</v>
      </c>
      <c r="N39" s="146">
        <f>ROUND(K39/E39*100,1)</f>
        <v>22.3</v>
      </c>
      <c r="O39" s="147"/>
      <c r="P39" s="148">
        <f>(J39/G39)*100</f>
        <v>38.5732588232404</v>
      </c>
      <c r="Q39" s="146">
        <f>(K39/H39)*100</f>
        <v>38.83060908946244</v>
      </c>
      <c r="R39" s="147">
        <f>ROUND(L39/I39*100,1)</f>
        <v>0</v>
      </c>
    </row>
    <row r="40" spans="1:18" s="149" customFormat="1" ht="15">
      <c r="A40" s="150" t="s">
        <v>152</v>
      </c>
      <c r="B40" s="143" t="s">
        <v>133</v>
      </c>
      <c r="C40" s="144" t="s">
        <v>113</v>
      </c>
      <c r="D40" s="152">
        <v>2795.1</v>
      </c>
      <c r="E40" s="145">
        <f>D40-F40</f>
        <v>2795.1</v>
      </c>
      <c r="F40" s="152"/>
      <c r="G40" s="152">
        <f>2074-148</f>
        <v>1926</v>
      </c>
      <c r="H40" s="145">
        <f t="shared" si="3"/>
        <v>1926</v>
      </c>
      <c r="I40" s="152"/>
      <c r="J40" s="145">
        <v>549.3</v>
      </c>
      <c r="K40" s="145">
        <f t="shared" si="4"/>
        <v>549.3</v>
      </c>
      <c r="L40" s="145"/>
      <c r="M40" s="146">
        <f>ROUND(J40/D40*100,1)</f>
        <v>19.7</v>
      </c>
      <c r="N40" s="146">
        <f>ROUND(K40/E40*100,1)</f>
        <v>19.7</v>
      </c>
      <c r="O40" s="147"/>
      <c r="P40" s="148">
        <f>(J40/G40)*100</f>
        <v>28.520249221183796</v>
      </c>
      <c r="Q40" s="146">
        <f>(K40/H40)*100</f>
        <v>28.520249221183796</v>
      </c>
      <c r="R40" s="147"/>
    </row>
    <row r="41" spans="1:18" s="163" customFormat="1" ht="15">
      <c r="A41" s="135" t="s">
        <v>153</v>
      </c>
      <c r="B41" s="136" t="s">
        <v>126</v>
      </c>
      <c r="C41" s="136" t="s">
        <v>109</v>
      </c>
      <c r="D41" s="137">
        <f aca="true" t="shared" si="19" ref="D41:L41">SUM(D42:D47)</f>
        <v>991891.9</v>
      </c>
      <c r="E41" s="137">
        <f t="shared" si="19"/>
        <v>991891.9</v>
      </c>
      <c r="F41" s="137">
        <f t="shared" si="19"/>
        <v>0</v>
      </c>
      <c r="G41" s="137">
        <f t="shared" si="19"/>
        <v>1406368.1</v>
      </c>
      <c r="H41" s="137">
        <f t="shared" si="19"/>
        <v>1402042.6</v>
      </c>
      <c r="I41" s="137">
        <f t="shared" si="19"/>
        <v>4325.5</v>
      </c>
      <c r="J41" s="137">
        <f t="shared" si="19"/>
        <v>242938.79000000004</v>
      </c>
      <c r="K41" s="137">
        <f t="shared" si="19"/>
        <v>242938.79000000004</v>
      </c>
      <c r="L41" s="137">
        <f t="shared" si="19"/>
        <v>0</v>
      </c>
      <c r="M41" s="138">
        <f>SUM(J41/D41)*100</f>
        <v>24.4924663665466</v>
      </c>
      <c r="N41" s="138">
        <f>SUM(K41/E41)*100</f>
        <v>24.4924663665466</v>
      </c>
      <c r="O41" s="138"/>
      <c r="P41" s="140">
        <f>SUM(J41/G41)*100</f>
        <v>17.274196563474387</v>
      </c>
      <c r="Q41" s="138">
        <f>SUM(K41/H41)*100</f>
        <v>17.327489906512113</v>
      </c>
      <c r="R41" s="166">
        <f>ROUND(L41/I41*100,1)</f>
        <v>0</v>
      </c>
    </row>
    <row r="42" spans="1:18" s="163" customFormat="1" ht="15">
      <c r="A42" s="150" t="s">
        <v>154</v>
      </c>
      <c r="B42" s="143" t="s">
        <v>126</v>
      </c>
      <c r="C42" s="144" t="s">
        <v>108</v>
      </c>
      <c r="D42" s="152">
        <v>285571.2</v>
      </c>
      <c r="E42" s="145">
        <f aca="true" t="shared" si="20" ref="E42:E47">D42-F42</f>
        <v>285571.2</v>
      </c>
      <c r="F42" s="152"/>
      <c r="G42" s="152">
        <f>685272.4-173578.7</f>
        <v>511693.7</v>
      </c>
      <c r="H42" s="145">
        <f t="shared" si="3"/>
        <v>511693.7</v>
      </c>
      <c r="I42" s="152"/>
      <c r="J42" s="145">
        <v>92957.9</v>
      </c>
      <c r="K42" s="145">
        <f t="shared" si="4"/>
        <v>92957.9</v>
      </c>
      <c r="L42" s="145"/>
      <c r="M42" s="146">
        <f aca="true" t="shared" si="21" ref="M42:N47">(J42/D42)*100</f>
        <v>32.55156682466579</v>
      </c>
      <c r="N42" s="146">
        <f t="shared" si="21"/>
        <v>32.55156682466579</v>
      </c>
      <c r="O42" s="147"/>
      <c r="P42" s="148">
        <f aca="true" t="shared" si="22" ref="P42:Q47">(J42/G42)*100</f>
        <v>18.166707934844613</v>
      </c>
      <c r="Q42" s="146">
        <f t="shared" si="22"/>
        <v>18.166707934844613</v>
      </c>
      <c r="R42" s="147"/>
    </row>
    <row r="43" spans="1:18" s="163" customFormat="1" ht="15">
      <c r="A43" s="150" t="s">
        <v>155</v>
      </c>
      <c r="B43" s="143" t="s">
        <v>126</v>
      </c>
      <c r="C43" s="144" t="s">
        <v>111</v>
      </c>
      <c r="D43" s="152">
        <v>344677.8</v>
      </c>
      <c r="E43" s="145">
        <f t="shared" si="20"/>
        <v>344677.8</v>
      </c>
      <c r="F43" s="152"/>
      <c r="G43" s="152">
        <f>982690.8-247510.4</f>
        <v>735180.4</v>
      </c>
      <c r="H43" s="145">
        <f t="shared" si="3"/>
        <v>735180.4</v>
      </c>
      <c r="I43" s="152"/>
      <c r="J43" s="145">
        <v>78490.3</v>
      </c>
      <c r="K43" s="145">
        <f t="shared" si="4"/>
        <v>78490.3</v>
      </c>
      <c r="L43" s="145"/>
      <c r="M43" s="146">
        <f t="shared" si="21"/>
        <v>22.772078735561156</v>
      </c>
      <c r="N43" s="146">
        <f t="shared" si="21"/>
        <v>22.772078735561156</v>
      </c>
      <c r="O43" s="147"/>
      <c r="P43" s="148">
        <f t="shared" si="22"/>
        <v>10.67633195879542</v>
      </c>
      <c r="Q43" s="146">
        <f t="shared" si="22"/>
        <v>10.67633195879542</v>
      </c>
      <c r="R43" s="147"/>
    </row>
    <row r="44" spans="1:18" s="163" customFormat="1" ht="15">
      <c r="A44" s="150" t="s">
        <v>156</v>
      </c>
      <c r="B44" s="143" t="s">
        <v>126</v>
      </c>
      <c r="C44" s="144" t="s">
        <v>123</v>
      </c>
      <c r="D44" s="152">
        <v>11020.8</v>
      </c>
      <c r="E44" s="145">
        <f t="shared" si="20"/>
        <v>11020.8</v>
      </c>
      <c r="F44" s="152"/>
      <c r="G44" s="152">
        <f>6462-1509</f>
        <v>4953</v>
      </c>
      <c r="H44" s="145">
        <f t="shared" si="3"/>
        <v>4953</v>
      </c>
      <c r="I44" s="152"/>
      <c r="J44" s="145">
        <v>2203.5</v>
      </c>
      <c r="K44" s="145">
        <f t="shared" si="4"/>
        <v>2203.5</v>
      </c>
      <c r="L44" s="145"/>
      <c r="M44" s="146">
        <f t="shared" si="21"/>
        <v>19.994011324041814</v>
      </c>
      <c r="N44" s="146">
        <f t="shared" si="21"/>
        <v>19.994011324041814</v>
      </c>
      <c r="O44" s="147"/>
      <c r="P44" s="148">
        <f t="shared" si="22"/>
        <v>44.48818897637795</v>
      </c>
      <c r="Q44" s="146">
        <f t="shared" si="22"/>
        <v>44.48818897637795</v>
      </c>
      <c r="R44" s="147"/>
    </row>
    <row r="45" spans="1:18" s="163" customFormat="1" ht="15">
      <c r="A45" s="150" t="s">
        <v>157</v>
      </c>
      <c r="B45" s="143" t="s">
        <v>126</v>
      </c>
      <c r="C45" s="144" t="s">
        <v>113</v>
      </c>
      <c r="D45" s="152">
        <v>305172.9</v>
      </c>
      <c r="E45" s="145">
        <f t="shared" si="20"/>
        <v>305172.9</v>
      </c>
      <c r="F45" s="152"/>
      <c r="G45" s="152">
        <f>173549-41241</f>
        <v>132308</v>
      </c>
      <c r="H45" s="145">
        <f t="shared" si="3"/>
        <v>132308</v>
      </c>
      <c r="I45" s="152"/>
      <c r="J45" s="145">
        <v>60896</v>
      </c>
      <c r="K45" s="145">
        <f t="shared" si="4"/>
        <v>60896</v>
      </c>
      <c r="L45" s="145"/>
      <c r="M45" s="146">
        <f t="shared" si="21"/>
        <v>19.954589676868423</v>
      </c>
      <c r="N45" s="146">
        <f t="shared" si="21"/>
        <v>19.954589676868423</v>
      </c>
      <c r="O45" s="147"/>
      <c r="P45" s="148">
        <f t="shared" si="22"/>
        <v>46.025939474559365</v>
      </c>
      <c r="Q45" s="146">
        <f t="shared" si="22"/>
        <v>46.025939474559365</v>
      </c>
      <c r="R45" s="147"/>
    </row>
    <row r="46" spans="1:18" s="163" customFormat="1" ht="15">
      <c r="A46" s="150" t="s">
        <v>158</v>
      </c>
      <c r="B46" s="143" t="s">
        <v>126</v>
      </c>
      <c r="C46" s="144" t="s">
        <v>145</v>
      </c>
      <c r="D46" s="152">
        <v>7129</v>
      </c>
      <c r="E46" s="145">
        <f t="shared" si="20"/>
        <v>7129</v>
      </c>
      <c r="F46" s="152"/>
      <c r="G46" s="152">
        <f>7624-2375</f>
        <v>5249</v>
      </c>
      <c r="H46" s="145">
        <f t="shared" si="3"/>
        <v>5249</v>
      </c>
      <c r="I46" s="152"/>
      <c r="J46" s="145">
        <v>1188.17</v>
      </c>
      <c r="K46" s="145">
        <f t="shared" si="4"/>
        <v>1188.17</v>
      </c>
      <c r="L46" s="145"/>
      <c r="M46" s="146">
        <f t="shared" si="21"/>
        <v>16.666713424042644</v>
      </c>
      <c r="N46" s="146">
        <f t="shared" si="21"/>
        <v>16.666713424042644</v>
      </c>
      <c r="O46" s="147"/>
      <c r="P46" s="148">
        <f t="shared" si="22"/>
        <v>22.63612116593637</v>
      </c>
      <c r="Q46" s="146">
        <f t="shared" si="22"/>
        <v>22.63612116593637</v>
      </c>
      <c r="R46" s="147"/>
    </row>
    <row r="47" spans="1:18" s="149" customFormat="1" ht="15">
      <c r="A47" s="150" t="s">
        <v>159</v>
      </c>
      <c r="B47" s="143" t="s">
        <v>126</v>
      </c>
      <c r="C47" s="144" t="s">
        <v>126</v>
      </c>
      <c r="D47" s="152">
        <v>38320.2</v>
      </c>
      <c r="E47" s="145">
        <f t="shared" si="20"/>
        <v>38320.2</v>
      </c>
      <c r="F47" s="152"/>
      <c r="G47" s="152">
        <f>27111.1-10127.1</f>
        <v>16984</v>
      </c>
      <c r="H47" s="145">
        <f t="shared" si="3"/>
        <v>12658.5</v>
      </c>
      <c r="I47" s="152">
        <f>4325.5</f>
        <v>4325.5</v>
      </c>
      <c r="J47" s="145">
        <v>7202.92</v>
      </c>
      <c r="K47" s="145">
        <f t="shared" si="4"/>
        <v>7202.92</v>
      </c>
      <c r="L47" s="145"/>
      <c r="M47" s="146">
        <f t="shared" si="21"/>
        <v>18.79666598817334</v>
      </c>
      <c r="N47" s="146">
        <f t="shared" si="21"/>
        <v>18.79666598817334</v>
      </c>
      <c r="O47" s="147"/>
      <c r="P47" s="148">
        <f t="shared" si="22"/>
        <v>42.41003297220914</v>
      </c>
      <c r="Q47" s="146">
        <f t="shared" si="22"/>
        <v>56.90184461034088</v>
      </c>
      <c r="R47" s="147">
        <f>ROUND(L47/I47*100,1)</f>
        <v>0</v>
      </c>
    </row>
    <row r="48" spans="1:18" s="149" customFormat="1" ht="15">
      <c r="A48" s="135" t="s">
        <v>160</v>
      </c>
      <c r="B48" s="167">
        <v>10</v>
      </c>
      <c r="C48" s="136" t="s">
        <v>109</v>
      </c>
      <c r="D48" s="137">
        <f aca="true" t="shared" si="23" ref="D48:L48">SUM(D49:D52)</f>
        <v>720111.65</v>
      </c>
      <c r="E48" s="137">
        <f t="shared" si="23"/>
        <v>720111.65</v>
      </c>
      <c r="F48" s="137">
        <f>SUM(F49:F52)</f>
        <v>0</v>
      </c>
      <c r="G48" s="137">
        <f>SUM(G49:G52)</f>
        <v>585312.5</v>
      </c>
      <c r="H48" s="137">
        <f>SUM(H49:H52)</f>
        <v>585312.5</v>
      </c>
      <c r="I48" s="137">
        <f>SUM(I49:I52)</f>
        <v>0</v>
      </c>
      <c r="J48" s="137">
        <f t="shared" si="23"/>
        <v>141412.01</v>
      </c>
      <c r="K48" s="137">
        <f t="shared" si="23"/>
        <v>141412.01</v>
      </c>
      <c r="L48" s="137">
        <f t="shared" si="23"/>
        <v>0</v>
      </c>
      <c r="M48" s="138">
        <f>SUM(J48/D48)*100</f>
        <v>19.637511766404558</v>
      </c>
      <c r="N48" s="138">
        <f>SUM(K48/E48)*100</f>
        <v>19.637511766404558</v>
      </c>
      <c r="O48" s="168"/>
      <c r="P48" s="140">
        <f>SUM(J48/G48)*100</f>
        <v>24.160087132941808</v>
      </c>
      <c r="Q48" s="138">
        <f>SUM(K48/H48)*100</f>
        <v>24.160087132941808</v>
      </c>
      <c r="R48" s="139">
        <v>0</v>
      </c>
    </row>
    <row r="49" spans="1:18" s="149" customFormat="1" ht="15">
      <c r="A49" s="169" t="s">
        <v>161</v>
      </c>
      <c r="B49" s="170">
        <v>10</v>
      </c>
      <c r="C49" s="171" t="s">
        <v>108</v>
      </c>
      <c r="D49" s="152">
        <v>8828.2</v>
      </c>
      <c r="E49" s="145">
        <f>D49-F49</f>
        <v>8828.2</v>
      </c>
      <c r="F49" s="145"/>
      <c r="G49" s="152">
        <f>3968.4-968.4</f>
        <v>3000</v>
      </c>
      <c r="H49" s="145">
        <f t="shared" si="3"/>
        <v>3000</v>
      </c>
      <c r="I49" s="145"/>
      <c r="J49" s="145">
        <v>2380.34</v>
      </c>
      <c r="K49" s="145">
        <f t="shared" si="4"/>
        <v>2380.34</v>
      </c>
      <c r="L49" s="145"/>
      <c r="M49" s="146">
        <f aca="true" t="shared" si="24" ref="M49:N57">(J49/D49)*100</f>
        <v>26.96291429736526</v>
      </c>
      <c r="N49" s="146">
        <f t="shared" si="24"/>
        <v>26.96291429736526</v>
      </c>
      <c r="O49" s="147"/>
      <c r="P49" s="148">
        <f aca="true" t="shared" si="25" ref="P49:Q52">(J49/G49)*100</f>
        <v>79.34466666666667</v>
      </c>
      <c r="Q49" s="146">
        <f t="shared" si="25"/>
        <v>79.34466666666667</v>
      </c>
      <c r="R49" s="147"/>
    </row>
    <row r="50" spans="1:18" s="149" customFormat="1" ht="15">
      <c r="A50" s="172" t="s">
        <v>162</v>
      </c>
      <c r="B50" s="173">
        <v>10</v>
      </c>
      <c r="C50" s="143" t="s">
        <v>123</v>
      </c>
      <c r="D50" s="152">
        <v>156880.9</v>
      </c>
      <c r="E50" s="145">
        <f>D50-F50</f>
        <v>156880.9</v>
      </c>
      <c r="F50" s="174"/>
      <c r="G50" s="152">
        <f>213109.7</f>
        <v>213109.7</v>
      </c>
      <c r="H50" s="145">
        <f t="shared" si="3"/>
        <v>213109.7</v>
      </c>
      <c r="I50" s="174"/>
      <c r="J50" s="145">
        <v>17291.2</v>
      </c>
      <c r="K50" s="145">
        <f t="shared" si="4"/>
        <v>17291.2</v>
      </c>
      <c r="L50" s="175"/>
      <c r="M50" s="146">
        <f t="shared" si="24"/>
        <v>11.021864356973985</v>
      </c>
      <c r="N50" s="146">
        <f t="shared" si="24"/>
        <v>11.021864356973985</v>
      </c>
      <c r="O50" s="147"/>
      <c r="P50" s="148">
        <f t="shared" si="25"/>
        <v>8.113755497755381</v>
      </c>
      <c r="Q50" s="146">
        <f t="shared" si="25"/>
        <v>8.113755497755381</v>
      </c>
      <c r="R50" s="147"/>
    </row>
    <row r="51" spans="1:18" s="149" customFormat="1" ht="15">
      <c r="A51" s="150" t="s">
        <v>163</v>
      </c>
      <c r="B51" s="176">
        <v>10</v>
      </c>
      <c r="C51" s="144" t="s">
        <v>113</v>
      </c>
      <c r="D51" s="152">
        <v>462363.8</v>
      </c>
      <c r="E51" s="145">
        <f>D51-F51</f>
        <v>462363.8</v>
      </c>
      <c r="F51" s="152"/>
      <c r="G51" s="152">
        <f>321588.7-76204.7</f>
        <v>245384</v>
      </c>
      <c r="H51" s="145">
        <f t="shared" si="3"/>
        <v>245384</v>
      </c>
      <c r="I51" s="152"/>
      <c r="J51" s="145">
        <v>88510.34</v>
      </c>
      <c r="K51" s="145">
        <f t="shared" si="4"/>
        <v>88510.34</v>
      </c>
      <c r="L51" s="145"/>
      <c r="M51" s="146">
        <f t="shared" si="24"/>
        <v>19.143008168026995</v>
      </c>
      <c r="N51" s="146">
        <f t="shared" si="24"/>
        <v>19.143008168026995</v>
      </c>
      <c r="O51" s="147"/>
      <c r="P51" s="148">
        <f t="shared" si="25"/>
        <v>36.070134972125324</v>
      </c>
      <c r="Q51" s="146">
        <f t="shared" si="25"/>
        <v>36.070134972125324</v>
      </c>
      <c r="R51" s="147"/>
    </row>
    <row r="52" spans="1:18" s="149" customFormat="1" ht="15">
      <c r="A52" s="177" t="s">
        <v>164</v>
      </c>
      <c r="B52" s="178">
        <v>10</v>
      </c>
      <c r="C52" s="179" t="s">
        <v>117</v>
      </c>
      <c r="D52" s="180">
        <v>92038.75</v>
      </c>
      <c r="E52" s="181">
        <f>D52-F52</f>
        <v>92038.75</v>
      </c>
      <c r="F52" s="180"/>
      <c r="G52" s="180">
        <f>140248.3-16429.5</f>
        <v>123818.79999999999</v>
      </c>
      <c r="H52" s="181">
        <f t="shared" si="3"/>
        <v>123818.79999999999</v>
      </c>
      <c r="I52" s="180"/>
      <c r="J52" s="181">
        <v>33230.13</v>
      </c>
      <c r="K52" s="181">
        <f t="shared" si="4"/>
        <v>33230.13</v>
      </c>
      <c r="L52" s="181"/>
      <c r="M52" s="182">
        <f t="shared" si="24"/>
        <v>36.10449946354117</v>
      </c>
      <c r="N52" s="182">
        <f t="shared" si="24"/>
        <v>36.10449946354117</v>
      </c>
      <c r="O52" s="183"/>
      <c r="P52" s="148">
        <f t="shared" si="25"/>
        <v>26.83770962083302</v>
      </c>
      <c r="Q52" s="146">
        <f t="shared" si="25"/>
        <v>26.83770962083302</v>
      </c>
      <c r="R52" s="183"/>
    </row>
    <row r="53" spans="1:18" s="149" customFormat="1" ht="15">
      <c r="A53" s="184" t="s">
        <v>165</v>
      </c>
      <c r="B53" s="167">
        <v>11</v>
      </c>
      <c r="C53" s="136" t="s">
        <v>109</v>
      </c>
      <c r="D53" s="185">
        <f>D54+D55</f>
        <v>121898.19</v>
      </c>
      <c r="E53" s="185">
        <f aca="true" t="shared" si="26" ref="E53:L53">E54+E55</f>
        <v>53690.6</v>
      </c>
      <c r="F53" s="185">
        <f t="shared" si="26"/>
        <v>68207.59</v>
      </c>
      <c r="G53" s="185">
        <f t="shared" si="26"/>
        <v>0</v>
      </c>
      <c r="H53" s="185">
        <f t="shared" si="26"/>
        <v>0</v>
      </c>
      <c r="I53" s="185">
        <f t="shared" si="26"/>
        <v>0</v>
      </c>
      <c r="J53" s="185">
        <f t="shared" si="26"/>
        <v>35938.229999999996</v>
      </c>
      <c r="K53" s="185">
        <f t="shared" si="26"/>
        <v>18315.71</v>
      </c>
      <c r="L53" s="185">
        <f t="shared" si="26"/>
        <v>17622.52</v>
      </c>
      <c r="M53" s="186">
        <f t="shared" si="24"/>
        <v>29.482168685195404</v>
      </c>
      <c r="N53" s="186">
        <f t="shared" si="24"/>
        <v>34.113438851493555</v>
      </c>
      <c r="O53" s="161">
        <f>ROUND(L53/F53*100,1)</f>
        <v>25.8</v>
      </c>
      <c r="P53" s="187"/>
      <c r="Q53" s="188"/>
      <c r="R53" s="189"/>
    </row>
    <row r="54" spans="1:18" s="149" customFormat="1" ht="15">
      <c r="A54" s="190" t="s">
        <v>166</v>
      </c>
      <c r="B54" s="191">
        <v>11</v>
      </c>
      <c r="C54" s="154" t="s">
        <v>108</v>
      </c>
      <c r="D54" s="152">
        <v>41395.6</v>
      </c>
      <c r="E54" s="181">
        <f>D54-F54</f>
        <v>41395.6</v>
      </c>
      <c r="F54" s="152"/>
      <c r="G54" s="152"/>
      <c r="H54" s="145"/>
      <c r="I54" s="152"/>
      <c r="J54" s="145">
        <v>8952</v>
      </c>
      <c r="K54" s="181">
        <f t="shared" si="4"/>
        <v>8952</v>
      </c>
      <c r="L54" s="145"/>
      <c r="M54" s="192">
        <f t="shared" si="24"/>
        <v>21.625486766709507</v>
      </c>
      <c r="N54" s="192">
        <f t="shared" si="24"/>
        <v>21.625486766709507</v>
      </c>
      <c r="O54" s="156"/>
      <c r="P54" s="187"/>
      <c r="Q54" s="188"/>
      <c r="R54" s="189"/>
    </row>
    <row r="55" spans="1:18" s="149" customFormat="1" ht="15">
      <c r="A55" s="190" t="s">
        <v>167</v>
      </c>
      <c r="B55" s="191">
        <v>11</v>
      </c>
      <c r="C55" s="154" t="s">
        <v>111</v>
      </c>
      <c r="D55" s="152">
        <v>80502.59</v>
      </c>
      <c r="E55" s="181">
        <f>D55-F55</f>
        <v>12295</v>
      </c>
      <c r="F55" s="152">
        <v>68207.59</v>
      </c>
      <c r="G55" s="152"/>
      <c r="H55" s="145"/>
      <c r="I55" s="152"/>
      <c r="J55" s="145">
        <v>26986.23</v>
      </c>
      <c r="K55" s="181">
        <f t="shared" si="4"/>
        <v>9363.71</v>
      </c>
      <c r="L55" s="145">
        <v>17622.52</v>
      </c>
      <c r="M55" s="192">
        <f t="shared" si="24"/>
        <v>33.52218854076621</v>
      </c>
      <c r="N55" s="192">
        <f t="shared" si="24"/>
        <v>76.15868239121593</v>
      </c>
      <c r="O55" s="156">
        <f>ROUND(L55/F55*100,1)</f>
        <v>25.8</v>
      </c>
      <c r="P55" s="187"/>
      <c r="Q55" s="188"/>
      <c r="R55" s="189"/>
    </row>
    <row r="56" spans="1:18" s="149" customFormat="1" ht="15">
      <c r="A56" s="184" t="s">
        <v>168</v>
      </c>
      <c r="B56" s="167">
        <v>12</v>
      </c>
      <c r="C56" s="136" t="s">
        <v>109</v>
      </c>
      <c r="D56" s="185">
        <f aca="true" t="shared" si="27" ref="D56:L56">D57</f>
        <v>4428.76</v>
      </c>
      <c r="E56" s="185">
        <f t="shared" si="27"/>
        <v>4428.76</v>
      </c>
      <c r="F56" s="185">
        <f t="shared" si="27"/>
        <v>0</v>
      </c>
      <c r="G56" s="185">
        <f t="shared" si="27"/>
        <v>0</v>
      </c>
      <c r="H56" s="185">
        <f t="shared" si="27"/>
        <v>0</v>
      </c>
      <c r="I56" s="185">
        <f t="shared" si="27"/>
        <v>0</v>
      </c>
      <c r="J56" s="185">
        <f t="shared" si="27"/>
        <v>1351.97</v>
      </c>
      <c r="K56" s="185">
        <f t="shared" si="27"/>
        <v>1351.97</v>
      </c>
      <c r="L56" s="185">
        <f t="shared" si="27"/>
        <v>0</v>
      </c>
      <c r="M56" s="186">
        <f t="shared" si="24"/>
        <v>30.52705497701388</v>
      </c>
      <c r="N56" s="186">
        <f t="shared" si="24"/>
        <v>30.52705497701388</v>
      </c>
      <c r="O56" s="161"/>
      <c r="P56" s="187"/>
      <c r="Q56" s="188"/>
      <c r="R56" s="189"/>
    </row>
    <row r="57" spans="1:18" s="149" customFormat="1" ht="15.75" thickBot="1">
      <c r="A57" s="150" t="s">
        <v>169</v>
      </c>
      <c r="B57" s="176">
        <v>12</v>
      </c>
      <c r="C57" s="144" t="s">
        <v>111</v>
      </c>
      <c r="D57" s="152">
        <v>4428.76</v>
      </c>
      <c r="E57" s="181">
        <f>D57-F57</f>
        <v>4428.76</v>
      </c>
      <c r="F57" s="152"/>
      <c r="G57" s="152"/>
      <c r="H57" s="145"/>
      <c r="I57" s="152"/>
      <c r="J57" s="145">
        <v>1351.97</v>
      </c>
      <c r="K57" s="181">
        <f t="shared" si="4"/>
        <v>1351.97</v>
      </c>
      <c r="L57" s="145"/>
      <c r="M57" s="182">
        <f t="shared" si="24"/>
        <v>30.52705497701388</v>
      </c>
      <c r="N57" s="182">
        <f t="shared" si="24"/>
        <v>30.52705497701388</v>
      </c>
      <c r="O57" s="147"/>
      <c r="P57" s="187"/>
      <c r="Q57" s="188"/>
      <c r="R57" s="189"/>
    </row>
    <row r="58" spans="1:18" s="149" customFormat="1" ht="15.75" thickBot="1">
      <c r="A58" s="193" t="s">
        <v>170</v>
      </c>
      <c r="B58" s="194"/>
      <c r="C58" s="194"/>
      <c r="D58" s="195">
        <f>D48+D41+D38+D33+D26+D20+D16+D9+D31+D53+D56</f>
        <v>12103254.649999999</v>
      </c>
      <c r="E58" s="195">
        <f aca="true" t="shared" si="28" ref="E58:L58">E48+E41+E38+E33+E26+E20+E16+E9+E31+E53+E56</f>
        <v>11314306.79</v>
      </c>
      <c r="F58" s="195">
        <f t="shared" si="28"/>
        <v>788947.86</v>
      </c>
      <c r="G58" s="195">
        <f t="shared" si="28"/>
        <v>8506061.100000001</v>
      </c>
      <c r="H58" s="195">
        <f t="shared" si="28"/>
        <v>7697703</v>
      </c>
      <c r="I58" s="195">
        <f t="shared" si="28"/>
        <v>808358.1000000001</v>
      </c>
      <c r="J58" s="195">
        <f t="shared" si="28"/>
        <v>2530240.56</v>
      </c>
      <c r="K58" s="195">
        <f t="shared" si="28"/>
        <v>2465405.5100000002</v>
      </c>
      <c r="L58" s="195">
        <f t="shared" si="28"/>
        <v>64835.05</v>
      </c>
      <c r="M58" s="196">
        <f>SUM(J58/D58)*100</f>
        <v>20.90545587256565</v>
      </c>
      <c r="N58" s="196">
        <f>SUM(K58/E58)*100</f>
        <v>21.7901596249716</v>
      </c>
      <c r="O58" s="197">
        <f>SUM(L58/F58)*100</f>
        <v>8.217913158418352</v>
      </c>
      <c r="P58" s="198">
        <f>SUM(J58/G58)*100</f>
        <v>29.746324770697917</v>
      </c>
      <c r="Q58" s="196">
        <f>SUM(K58/H58)*100</f>
        <v>32.027807645995175</v>
      </c>
      <c r="R58" s="197">
        <f>SUM(L58/I58)*100</f>
        <v>8.020585183719938</v>
      </c>
    </row>
    <row r="59" spans="1:18" s="164" customFormat="1" ht="15">
      <c r="A59" s="107"/>
      <c r="B59" s="107"/>
      <c r="C59" s="199"/>
      <c r="D59" s="199"/>
      <c r="E59" s="200"/>
      <c r="F59" s="199"/>
      <c r="G59" s="199"/>
      <c r="H59" s="199"/>
      <c r="I59" s="199"/>
      <c r="J59" s="199"/>
      <c r="K59" s="199"/>
      <c r="L59" s="199"/>
      <c r="M59" s="201"/>
      <c r="N59" s="201"/>
      <c r="O59" s="201"/>
      <c r="P59" s="201"/>
      <c r="Q59" s="201"/>
      <c r="R59" s="201"/>
    </row>
    <row r="60" spans="4:17" ht="15">
      <c r="D60" s="203"/>
      <c r="F60" s="204"/>
      <c r="G60" s="204"/>
      <c r="H60" s="204"/>
      <c r="I60" s="204"/>
      <c r="J60" s="205"/>
      <c r="K60" s="204"/>
      <c r="L60" s="204"/>
      <c r="M60" s="204"/>
      <c r="N60" s="204"/>
      <c r="P60" s="204"/>
      <c r="Q60" s="204"/>
    </row>
    <row r="64" spans="6:11" ht="15">
      <c r="F64" s="206"/>
      <c r="G64" s="206"/>
      <c r="H64" s="206"/>
      <c r="I64" s="206"/>
      <c r="J64" s="206"/>
      <c r="K64" s="206"/>
    </row>
  </sheetData>
  <sheetProtection/>
  <mergeCells count="21">
    <mergeCell ref="Q6:R6"/>
    <mergeCell ref="P5:R5"/>
    <mergeCell ref="D6:D7"/>
    <mergeCell ref="E6:F6"/>
    <mergeCell ref="G6:G7"/>
    <mergeCell ref="H6:I6"/>
    <mergeCell ref="J6:J7"/>
    <mergeCell ref="K6:L6"/>
    <mergeCell ref="M6:M7"/>
    <mergeCell ref="N6:O6"/>
    <mergeCell ref="P6:P7"/>
    <mergeCell ref="A1:O1"/>
    <mergeCell ref="A2:O2"/>
    <mergeCell ref="A3:O3"/>
    <mergeCell ref="A5:A7"/>
    <mergeCell ref="B5:B7"/>
    <mergeCell ref="C5:C7"/>
    <mergeCell ref="D5:F5"/>
    <mergeCell ref="G5:I5"/>
    <mergeCell ref="J5:L5"/>
    <mergeCell ref="M5:O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по финансам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Куклина Светланан Николаевна</cp:lastModifiedBy>
  <cp:lastPrinted>2012-03-13T06:01:53Z</cp:lastPrinted>
  <dcterms:created xsi:type="dcterms:W3CDTF">2007-07-04T09:57:04Z</dcterms:created>
  <dcterms:modified xsi:type="dcterms:W3CDTF">2015-02-25T05:04:10Z</dcterms:modified>
  <cp:category/>
  <cp:version/>
  <cp:contentType/>
  <cp:contentStatus/>
</cp:coreProperties>
</file>