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40" windowWidth="15132" windowHeight="6696" activeTab="1"/>
  </bookViews>
  <sheets>
    <sheet name="доходы" sheetId="3" r:id="rId1"/>
    <sheet name="расходы" sheetId="4" r:id="rId2"/>
  </sheets>
  <definedNames>
    <definedName name="Z_953F6272_BCBA_4E2A_B324_315CAA91D0DC_.wvu.Rows" localSheetId="0" hidden="1">доходы!$38:$38,доходы!#REF!,доходы!#REF!,доходы!#REF!,доходы!#REF!,доходы!#REF!</definedName>
    <definedName name="Z_B47CF732_6E85_4D8F_B03C_89DA2ED89ADF_.wvu.Cols" localSheetId="0" hidden="1">доходы!#REF!</definedName>
    <definedName name="Z_C425BA00_210C_48C2_AB7C_A6B940491DCD_.wvu.Rows" localSheetId="0" hidden="1">доходы!$38:$38,доходы!#REF!,доходы!#REF!,доходы!#REF!,доходы!#REF!,доходы!#REF!</definedName>
    <definedName name="_xlnm.Print_Titles" localSheetId="0">доходы!$5:$6</definedName>
  </definedNames>
  <calcPr calcId="145621"/>
  <customWorkbookViews>
    <customWorkbookView name="Парамонова Оксана Борисовна - Личное представление" guid="{B47CF732-6E85-4D8F-B03C-89DA2ED89ADF}" mergeInterval="0" personalView="1" maximized="1" xWindow="1" yWindow="1" windowWidth="1280" windowHeight="723" activeSheetId="1"/>
    <customWorkbookView name="Данилова Татьяна Ивановна - Личное представление" guid="{953F6272-BCBA-4E2A-B324-315CAA91D0DC}" mergeInterval="0" personalView="1" maximized="1" xWindow="1" yWindow="1" windowWidth="1280" windowHeight="830" activeSheetId="1" showFormulaBar="0"/>
    <customWorkbookView name="Ситникова  - Личное представление" guid="{C425BA00-210C-48C2-AB7C-A6B940491DCD}" mergeInterval="0" personalView="1" maximized="1" windowWidth="1020" windowHeight="560" activeSheetId="1" showStatusbar="0"/>
  </customWorkbookViews>
  <fileRecoveryPr autoRecover="0"/>
</workbook>
</file>

<file path=xl/calcChain.xml><?xml version="1.0" encoding="utf-8"?>
<calcChain xmlns="http://schemas.openxmlformats.org/spreadsheetml/2006/main">
  <c r="N57" i="4" l="1"/>
  <c r="M57" i="4"/>
  <c r="K57" i="4"/>
  <c r="K56" i="4" s="1"/>
  <c r="N56" i="4" s="1"/>
  <c r="E57" i="4"/>
  <c r="L56" i="4"/>
  <c r="J56" i="4"/>
  <c r="I56" i="4"/>
  <c r="H56" i="4"/>
  <c r="G56" i="4"/>
  <c r="F56" i="4"/>
  <c r="E56" i="4"/>
  <c r="D56" i="4"/>
  <c r="M56" i="4" s="1"/>
  <c r="O55" i="4"/>
  <c r="N55" i="4"/>
  <c r="M55" i="4"/>
  <c r="K55" i="4"/>
  <c r="E55" i="4"/>
  <c r="M54" i="4"/>
  <c r="K54" i="4"/>
  <c r="N54" i="4" s="1"/>
  <c r="E54" i="4"/>
  <c r="O53" i="4"/>
  <c r="L53" i="4"/>
  <c r="J53" i="4"/>
  <c r="M53" i="4" s="1"/>
  <c r="I53" i="4"/>
  <c r="H53" i="4"/>
  <c r="G53" i="4"/>
  <c r="F53" i="4"/>
  <c r="E53" i="4"/>
  <c r="D53" i="4"/>
  <c r="P52" i="4"/>
  <c r="N52" i="4"/>
  <c r="M52" i="4"/>
  <c r="K52" i="4"/>
  <c r="G52" i="4"/>
  <c r="H52" i="4" s="1"/>
  <c r="E52" i="4"/>
  <c r="P51" i="4"/>
  <c r="N51" i="4"/>
  <c r="M51" i="4"/>
  <c r="K51" i="4"/>
  <c r="G51" i="4"/>
  <c r="H51" i="4" s="1"/>
  <c r="E51" i="4"/>
  <c r="P50" i="4"/>
  <c r="N50" i="4"/>
  <c r="M50" i="4"/>
  <c r="K50" i="4"/>
  <c r="G50" i="4"/>
  <c r="H50" i="4" s="1"/>
  <c r="E50" i="4"/>
  <c r="P49" i="4"/>
  <c r="N49" i="4"/>
  <c r="M49" i="4"/>
  <c r="K49" i="4"/>
  <c r="K48" i="4" s="1"/>
  <c r="G49" i="4"/>
  <c r="H49" i="4" s="1"/>
  <c r="E49" i="4"/>
  <c r="E48" i="4" s="1"/>
  <c r="L48" i="4"/>
  <c r="L58" i="4" s="1"/>
  <c r="J48" i="4"/>
  <c r="J58" i="4" s="1"/>
  <c r="I48" i="4"/>
  <c r="G48" i="4"/>
  <c r="F48" i="4"/>
  <c r="F58" i="4" s="1"/>
  <c r="D48" i="4"/>
  <c r="D58" i="4" s="1"/>
  <c r="O47" i="4"/>
  <c r="N47" i="4"/>
  <c r="M47" i="4"/>
  <c r="K47" i="4"/>
  <c r="I47" i="4"/>
  <c r="R47" i="4" s="1"/>
  <c r="G47" i="4"/>
  <c r="H47" i="4" s="1"/>
  <c r="Q47" i="4" s="1"/>
  <c r="E47" i="4"/>
  <c r="P46" i="4"/>
  <c r="N46" i="4"/>
  <c r="M46" i="4"/>
  <c r="K46" i="4"/>
  <c r="Q46" i="4" s="1"/>
  <c r="G46" i="4"/>
  <c r="H46" i="4" s="1"/>
  <c r="E46" i="4"/>
  <c r="P45" i="4"/>
  <c r="N45" i="4"/>
  <c r="M45" i="4"/>
  <c r="K45" i="4"/>
  <c r="G45" i="4"/>
  <c r="H45" i="4" s="1"/>
  <c r="E45" i="4"/>
  <c r="P44" i="4"/>
  <c r="N44" i="4"/>
  <c r="M44" i="4"/>
  <c r="K44" i="4"/>
  <c r="Q44" i="4" s="1"/>
  <c r="G44" i="4"/>
  <c r="H44" i="4" s="1"/>
  <c r="E44" i="4"/>
  <c r="P43" i="4"/>
  <c r="N43" i="4"/>
  <c r="M43" i="4"/>
  <c r="K43" i="4"/>
  <c r="G43" i="4"/>
  <c r="H43" i="4" s="1"/>
  <c r="E43" i="4"/>
  <c r="P42" i="4"/>
  <c r="N42" i="4"/>
  <c r="M42" i="4"/>
  <c r="K42" i="4"/>
  <c r="K41" i="4" s="1"/>
  <c r="G42" i="4"/>
  <c r="H42" i="4" s="1"/>
  <c r="E42" i="4"/>
  <c r="E41" i="4" s="1"/>
  <c r="L41" i="4"/>
  <c r="O41" i="4" s="1"/>
  <c r="J41" i="4"/>
  <c r="M41" i="4" s="1"/>
  <c r="I41" i="4"/>
  <c r="R41" i="4" s="1"/>
  <c r="F41" i="4"/>
  <c r="D41" i="4"/>
  <c r="P40" i="4"/>
  <c r="N40" i="4"/>
  <c r="M40" i="4"/>
  <c r="K40" i="4"/>
  <c r="H40" i="4"/>
  <c r="Q40" i="4" s="1"/>
  <c r="G40" i="4"/>
  <c r="E40" i="4"/>
  <c r="P39" i="4"/>
  <c r="O39" i="4"/>
  <c r="M39" i="4"/>
  <c r="K39" i="4"/>
  <c r="N39" i="4" s="1"/>
  <c r="I39" i="4"/>
  <c r="R39" i="4" s="1"/>
  <c r="G39" i="4"/>
  <c r="H39" i="4" s="1"/>
  <c r="E39" i="4"/>
  <c r="E38" i="4" s="1"/>
  <c r="O38" i="4"/>
  <c r="L38" i="4"/>
  <c r="K38" i="4"/>
  <c r="N38" i="4" s="1"/>
  <c r="J38" i="4"/>
  <c r="M38" i="4" s="1"/>
  <c r="I38" i="4"/>
  <c r="G38" i="4"/>
  <c r="F38" i="4"/>
  <c r="D38" i="4"/>
  <c r="P37" i="4"/>
  <c r="N37" i="4"/>
  <c r="M37" i="4"/>
  <c r="K37" i="4"/>
  <c r="G37" i="4"/>
  <c r="H37" i="4" s="1"/>
  <c r="E37" i="4"/>
  <c r="P36" i="4"/>
  <c r="N36" i="4"/>
  <c r="M36" i="4"/>
  <c r="K36" i="4"/>
  <c r="G36" i="4"/>
  <c r="H36" i="4" s="1"/>
  <c r="E36" i="4"/>
  <c r="R35" i="4"/>
  <c r="P35" i="4"/>
  <c r="O35" i="4"/>
  <c r="M35" i="4"/>
  <c r="K35" i="4"/>
  <c r="I35" i="4"/>
  <c r="G35" i="4"/>
  <c r="H35" i="4" s="1"/>
  <c r="Q35" i="4" s="1"/>
  <c r="E35" i="4"/>
  <c r="N35" i="4" s="1"/>
  <c r="O34" i="4"/>
  <c r="M34" i="4"/>
  <c r="K34" i="4"/>
  <c r="K33" i="4" s="1"/>
  <c r="I34" i="4"/>
  <c r="I33" i="4" s="1"/>
  <c r="G34" i="4"/>
  <c r="P34" i="4" s="1"/>
  <c r="E34" i="4"/>
  <c r="E33" i="4" s="1"/>
  <c r="L33" i="4"/>
  <c r="R33" i="4" s="1"/>
  <c r="J33" i="4"/>
  <c r="M33" i="4" s="1"/>
  <c r="G33" i="4"/>
  <c r="P33" i="4" s="1"/>
  <c r="F33" i="4"/>
  <c r="O33" i="4" s="1"/>
  <c r="D33" i="4"/>
  <c r="O32" i="4"/>
  <c r="N32" i="4"/>
  <c r="M32" i="4"/>
  <c r="K32" i="4"/>
  <c r="I32" i="4"/>
  <c r="R32" i="4" s="1"/>
  <c r="G32" i="4"/>
  <c r="H32" i="4" s="1"/>
  <c r="E32" i="4"/>
  <c r="E31" i="4" s="1"/>
  <c r="N31" i="4" s="1"/>
  <c r="L31" i="4"/>
  <c r="O31" i="4" s="1"/>
  <c r="R31" i="4" s="1"/>
  <c r="K31" i="4"/>
  <c r="J31" i="4"/>
  <c r="M31" i="4" s="1"/>
  <c r="I31" i="4"/>
  <c r="F31" i="4"/>
  <c r="D31" i="4"/>
  <c r="Q30" i="4"/>
  <c r="P30" i="4"/>
  <c r="N30" i="4"/>
  <c r="M30" i="4"/>
  <c r="H30" i="4"/>
  <c r="E30" i="4"/>
  <c r="O29" i="4"/>
  <c r="N29" i="4"/>
  <c r="M29" i="4"/>
  <c r="K29" i="4"/>
  <c r="I29" i="4"/>
  <c r="R29" i="4" s="1"/>
  <c r="G29" i="4"/>
  <c r="H29" i="4" s="1"/>
  <c r="Q29" i="4" s="1"/>
  <c r="E29" i="4"/>
  <c r="R28" i="4"/>
  <c r="P28" i="4"/>
  <c r="O28" i="4"/>
  <c r="M28" i="4"/>
  <c r="K28" i="4"/>
  <c r="I28" i="4"/>
  <c r="G28" i="4"/>
  <c r="H28" i="4" s="1"/>
  <c r="Q28" i="4" s="1"/>
  <c r="E28" i="4"/>
  <c r="N28" i="4" s="1"/>
  <c r="O27" i="4"/>
  <c r="M27" i="4"/>
  <c r="K27" i="4"/>
  <c r="K26" i="4" s="1"/>
  <c r="I27" i="4"/>
  <c r="I26" i="4" s="1"/>
  <c r="G27" i="4"/>
  <c r="P27" i="4" s="1"/>
  <c r="E27" i="4"/>
  <c r="E26" i="4" s="1"/>
  <c r="L26" i="4"/>
  <c r="R26" i="4" s="1"/>
  <c r="J26" i="4"/>
  <c r="M26" i="4" s="1"/>
  <c r="G26" i="4"/>
  <c r="P26" i="4" s="1"/>
  <c r="F26" i="4"/>
  <c r="O26" i="4" s="1"/>
  <c r="D26" i="4"/>
  <c r="P25" i="4"/>
  <c r="M25" i="4"/>
  <c r="K25" i="4"/>
  <c r="Q25" i="4" s="1"/>
  <c r="H25" i="4"/>
  <c r="G25" i="4"/>
  <c r="E25" i="4"/>
  <c r="M24" i="4"/>
  <c r="K24" i="4"/>
  <c r="N24" i="4" s="1"/>
  <c r="E24" i="4"/>
  <c r="O23" i="4"/>
  <c r="N23" i="4"/>
  <c r="M23" i="4"/>
  <c r="K23" i="4"/>
  <c r="E23" i="4"/>
  <c r="R22" i="4"/>
  <c r="P22" i="4"/>
  <c r="M22" i="4"/>
  <c r="K22" i="4"/>
  <c r="K19" i="4" s="1"/>
  <c r="I22" i="4"/>
  <c r="H22" i="4"/>
  <c r="G22" i="4"/>
  <c r="E22" i="4"/>
  <c r="N21" i="4"/>
  <c r="M21" i="4"/>
  <c r="G21" i="4"/>
  <c r="P21" i="4" s="1"/>
  <c r="E21" i="4"/>
  <c r="M20" i="4"/>
  <c r="E20" i="4"/>
  <c r="E19" i="4" s="1"/>
  <c r="L19" i="4"/>
  <c r="O19" i="4" s="1"/>
  <c r="J19" i="4"/>
  <c r="M19" i="4" s="1"/>
  <c r="I19" i="4"/>
  <c r="F19" i="4"/>
  <c r="D19" i="4"/>
  <c r="P18" i="4"/>
  <c r="N18" i="4"/>
  <c r="M18" i="4"/>
  <c r="K18" i="4"/>
  <c r="H18" i="4"/>
  <c r="Q18" i="4" s="1"/>
  <c r="G18" i="4"/>
  <c r="E18" i="4"/>
  <c r="M17" i="4"/>
  <c r="K17" i="4"/>
  <c r="N17" i="4" s="1"/>
  <c r="E17" i="4"/>
  <c r="M16" i="4"/>
  <c r="K16" i="4"/>
  <c r="N16" i="4" s="1"/>
  <c r="G16" i="4"/>
  <c r="H16" i="4" s="1"/>
  <c r="H15" i="4" s="1"/>
  <c r="E16" i="4"/>
  <c r="E15" i="4" s="1"/>
  <c r="L15" i="4"/>
  <c r="J15" i="4"/>
  <c r="M15" i="4" s="1"/>
  <c r="I15" i="4"/>
  <c r="F15" i="4"/>
  <c r="D15" i="4"/>
  <c r="R14" i="4"/>
  <c r="Q14" i="4"/>
  <c r="P14" i="4"/>
  <c r="M14" i="4"/>
  <c r="K14" i="4"/>
  <c r="N14" i="4" s="1"/>
  <c r="H14" i="4"/>
  <c r="G14" i="4"/>
  <c r="E14" i="4"/>
  <c r="Q13" i="4"/>
  <c r="P13" i="4"/>
  <c r="M13" i="4"/>
  <c r="K13" i="4"/>
  <c r="N13" i="4" s="1"/>
  <c r="H13" i="4"/>
  <c r="G13" i="4"/>
  <c r="E13" i="4"/>
  <c r="Q12" i="4"/>
  <c r="P12" i="4"/>
  <c r="M12" i="4"/>
  <c r="K12" i="4"/>
  <c r="N12" i="4" s="1"/>
  <c r="H12" i="4"/>
  <c r="G12" i="4"/>
  <c r="E12" i="4"/>
  <c r="N11" i="4"/>
  <c r="M11" i="4"/>
  <c r="K11" i="4"/>
  <c r="E11" i="4"/>
  <c r="P10" i="4"/>
  <c r="M10" i="4"/>
  <c r="K10" i="4"/>
  <c r="Q10" i="4" s="1"/>
  <c r="H10" i="4"/>
  <c r="G10" i="4"/>
  <c r="E10" i="4"/>
  <c r="P9" i="4"/>
  <c r="M9" i="4"/>
  <c r="K9" i="4"/>
  <c r="Q9" i="4" s="1"/>
  <c r="H9" i="4"/>
  <c r="H8" i="4" s="1"/>
  <c r="G9" i="4"/>
  <c r="E9" i="4"/>
  <c r="E8" i="4" s="1"/>
  <c r="L8" i="4"/>
  <c r="K8" i="4"/>
  <c r="Q8" i="4" s="1"/>
  <c r="J8" i="4"/>
  <c r="I8" i="4"/>
  <c r="G8" i="4"/>
  <c r="P8" i="4" s="1"/>
  <c r="F8" i="4"/>
  <c r="D8" i="4"/>
  <c r="M8" i="4" s="1"/>
  <c r="O58" i="4" l="1"/>
  <c r="Q36" i="4"/>
  <c r="E58" i="4"/>
  <c r="Q50" i="4"/>
  <c r="P31" i="4"/>
  <c r="Q45" i="4"/>
  <c r="H48" i="4"/>
  <c r="N33" i="4"/>
  <c r="Q39" i="4"/>
  <c r="H38" i="4"/>
  <c r="Q38" i="4" s="1"/>
  <c r="N19" i="4"/>
  <c r="Q32" i="4"/>
  <c r="H31" i="4"/>
  <c r="Q31" i="4" s="1"/>
  <c r="Q43" i="4"/>
  <c r="I58" i="4"/>
  <c r="R58" i="4" s="1"/>
  <c r="Q26" i="4"/>
  <c r="N26" i="4"/>
  <c r="Q37" i="4"/>
  <c r="H41" i="4"/>
  <c r="M58" i="4"/>
  <c r="Q51" i="4"/>
  <c r="Q48" i="4"/>
  <c r="N48" i="4"/>
  <c r="K58" i="4"/>
  <c r="Q41" i="4"/>
  <c r="N41" i="4"/>
  <c r="Q52" i="4"/>
  <c r="G15" i="4"/>
  <c r="P15" i="4"/>
  <c r="P16" i="4"/>
  <c r="Q27" i="4"/>
  <c r="Q34" i="4"/>
  <c r="Q16" i="4"/>
  <c r="G19" i="4"/>
  <c r="P19" i="4" s="1"/>
  <c r="H21" i="4"/>
  <c r="H27" i="4"/>
  <c r="H26" i="4" s="1"/>
  <c r="R27" i="4"/>
  <c r="G31" i="4"/>
  <c r="H34" i="4"/>
  <c r="H33" i="4" s="1"/>
  <c r="Q33" i="4" s="1"/>
  <c r="R34" i="4"/>
  <c r="P38" i="4"/>
  <c r="G41" i="4"/>
  <c r="P41" i="4" s="1"/>
  <c r="M48" i="4"/>
  <c r="K15" i="4"/>
  <c r="N22" i="4"/>
  <c r="Q42" i="4"/>
  <c r="N8" i="4"/>
  <c r="N9" i="4"/>
  <c r="N10" i="4"/>
  <c r="N25" i="4"/>
  <c r="N27" i="4"/>
  <c r="P29" i="4"/>
  <c r="P32" i="4"/>
  <c r="N34" i="4"/>
  <c r="P47" i="4"/>
  <c r="P48" i="4"/>
  <c r="K53" i="4"/>
  <c r="N53" i="4" s="1"/>
  <c r="N20" i="4"/>
  <c r="Q49" i="4"/>
  <c r="E49" i="3"/>
  <c r="E48" i="3"/>
  <c r="Q58" i="4" l="1"/>
  <c r="N58" i="4"/>
  <c r="N15" i="4"/>
  <c r="Q15" i="4"/>
  <c r="H19" i="4"/>
  <c r="Q19" i="4" s="1"/>
  <c r="Q21" i="4"/>
  <c r="H58" i="4"/>
  <c r="G58" i="4"/>
  <c r="P58" i="4" s="1"/>
  <c r="E34" i="3"/>
  <c r="D29" i="3" l="1"/>
  <c r="E36" i="3"/>
  <c r="C29" i="3"/>
  <c r="E51" i="3" l="1"/>
  <c r="E47" i="3" l="1"/>
  <c r="E39" i="3"/>
  <c r="E28" i="3"/>
  <c r="E45" i="3"/>
  <c r="E44" i="3"/>
  <c r="E43" i="3"/>
  <c r="E42" i="3"/>
  <c r="E38" i="3"/>
  <c r="E37" i="3"/>
  <c r="E35" i="3"/>
  <c r="E33" i="3"/>
  <c r="E30" i="3"/>
  <c r="E27" i="3"/>
  <c r="E25" i="3"/>
  <c r="E24" i="3"/>
  <c r="E23" i="3"/>
  <c r="E22" i="3"/>
  <c r="E21" i="3"/>
  <c r="E20" i="3"/>
  <c r="E17" i="3"/>
  <c r="E16" i="3"/>
  <c r="E15" i="3"/>
  <c r="E14" i="3"/>
  <c r="E12" i="3"/>
  <c r="E11" i="3"/>
  <c r="E10" i="3"/>
  <c r="E8" i="3"/>
  <c r="D9" i="3"/>
  <c r="D13" i="3"/>
  <c r="D19" i="3"/>
  <c r="D26" i="3"/>
  <c r="D41" i="3"/>
  <c r="D46" i="3"/>
  <c r="D48" i="3"/>
  <c r="D50" i="3"/>
  <c r="C50" i="3"/>
  <c r="C48" i="3"/>
  <c r="C46" i="3"/>
  <c r="C41" i="3"/>
  <c r="C26" i="3"/>
  <c r="C19" i="3"/>
  <c r="C13" i="3"/>
  <c r="C9" i="3"/>
  <c r="C7" i="3" s="1"/>
  <c r="D7" i="3" l="1"/>
  <c r="E46" i="3"/>
  <c r="E50" i="3"/>
  <c r="E19" i="3"/>
  <c r="D40" i="3"/>
  <c r="E29" i="3"/>
  <c r="E26" i="3"/>
  <c r="E13" i="3"/>
  <c r="E9" i="3"/>
  <c r="C40" i="3"/>
  <c r="E41" i="3"/>
  <c r="C52" i="3"/>
  <c r="D52" i="3" l="1"/>
  <c r="E52" i="3" s="1"/>
  <c r="E40" i="3"/>
  <c r="E7" i="3"/>
</calcChain>
</file>

<file path=xl/sharedStrings.xml><?xml version="1.0" encoding="utf-8"?>
<sst xmlns="http://schemas.openxmlformats.org/spreadsheetml/2006/main" count="270" uniqueCount="178">
  <si>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</si>
  <si>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</si>
  <si>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</si>
  <si>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Задолженность и перерасчеты по отмененным налогам, сборам и иным обязательным платежам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</si>
  <si>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</si>
  <si>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</si>
  <si>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</si>
  <si>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</si>
  <si>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</si>
  <si>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</si>
  <si>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</si>
  <si>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</si>
  <si>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</si>
  <si>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</si>
  <si>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</si>
  <si>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</si>
  <si>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</si>
  <si>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</si>
  <si>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</si>
  <si>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</si>
  <si>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</si>
  <si>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</si>
  <si>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</si>
  <si>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</si>
  <si>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</si>
  <si>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</si>
  <si>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</si>
  <si>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</si>
  <si>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</si>
  <si>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</si>
  <si>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</si>
  <si>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</si>
  <si>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</si>
  <si>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</si>
  <si>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</si>
  <si>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</si>
  <si>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</si>
  <si>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</si>
  <si>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</si>
  <si>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</si>
  <si>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</si>
  <si>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</si>
  <si>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</si>
  <si>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</si>
  <si>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</si>
  <si>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</si>
  <si>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</si>
  <si>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</si>
  <si>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</si>
  <si>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</si>
  <si>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</si>
  <si>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</si>
  <si>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</si>
  <si>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>Безвозмездные поступления от других бюджетов системы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</si>
  <si>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</si>
  <si>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</si>
  <si>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</si>
  <si>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</si>
  <si>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</si>
  <si>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</si>
  <si>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</si>
  <si>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</si>
  <si>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</si>
  <si>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</si>
  <si>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</si>
  <si>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</si>
  <si>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</si>
  <si>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</si>
  <si>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>% исполнения к утверждённому плану 2012 года</t>
  </si>
  <si>
    <t>Утверждено по бюджету на 2012год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</si>
  <si>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</si>
  <si>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</si>
  <si>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040 111 09044 04 0290 120</t>
  </si>
  <si>
    <t>040 1 14 02043 04 0290 440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</si>
  <si>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</si>
  <si>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</si>
  <si>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</si>
  <si>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при использовании природными ресурсами</t>
  </si>
  <si>
    <t>Доходы от оказания платных услуг (работ) и компенсации затрат государства</t>
  </si>
  <si>
    <t>040 2 02 00000 00 0000 000</t>
  </si>
  <si>
    <t>040 2 07 04000 04 0000 180</t>
  </si>
  <si>
    <t>000 2 07 00000 00 0000 180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</si>
  <si>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</si>
  <si>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</si>
  <si>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иными организациями остатков субсидий прошлых лет   </t>
  </si>
  <si>
    <t>000 2 19 00000 00 0000 000</t>
  </si>
  <si>
    <t>040 2 19 04000 04 0000 151</t>
  </si>
  <si>
    <t>040 2 02 01000 00 0000 150</t>
  </si>
  <si>
    <t>040 2 02 02000 00 0000 150</t>
  </si>
  <si>
    <t>040 2 02 03000 00 0000 150</t>
  </si>
  <si>
    <t>040 2 02 04000 00 0000 150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</si>
  <si>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</si>
  <si>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</si>
  <si>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  
</t>
  </si>
  <si>
    <t>040 1 14 02042 04 0290 410</t>
  </si>
  <si>
    <t>040  1 14 02042 04 0290 440</t>
  </si>
  <si>
    <t>Фактическое исполнение на 01.01.2013 года</t>
  </si>
  <si>
    <t>на 01.01.2013 года</t>
  </si>
  <si>
    <t xml:space="preserve"> Исполнение бюджета</t>
  </si>
  <si>
    <t xml:space="preserve"> города Нижневартовска  по расходам  на 01.01.2013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</si>
  <si>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</si>
  <si>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</si>
  <si>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</si>
  <si>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</si>
  <si>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</si>
  <si>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01.01.2013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</si>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</sst>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\.00\.0"/>
    <numFmt numFmtId="165" formatCode="#,##0.000"/>
    <numFmt numFmtId="166" formatCode="#,##0.00_ ;[Red]\-#,##0.00\ "/>
    <numFmt numFmtId="167" formatCode="#,##0.0_ ;[Red]\-#,##0.0\ "/>
    <numFmt numFmtId="168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i/>
      <sz val="12"/>
      <name val="Arial Cyr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0" fontId="2" fillId="0" borderId="0" xfId="2" applyProtection="1">
      <protection hidden="1"/>
    </xf>
    <xf numFmtId="0" fontId="2" fillId="0" borderId="0" xfId="2"/>
    <xf numFmtId="0" fontId="6" fillId="0" borderId="0" xfId="2" applyFont="1" applyProtection="1">
      <protection hidden="1"/>
    </xf>
    <xf numFmtId="1" fontId="6" fillId="0" borderId="3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Alignment="1">
      <alignment horizontal="center" wrapText="1"/>
    </xf>
    <xf numFmtId="0" fontId="7" fillId="0" borderId="0" xfId="0" applyFont="1"/>
    <xf numFmtId="0" fontId="6" fillId="0" borderId="0" xfId="2" applyFont="1"/>
    <xf numFmtId="165" fontId="0" fillId="0" borderId="0" xfId="0" applyNumberFormat="1"/>
    <xf numFmtId="164" fontId="9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10" fillId="2" borderId="2" xfId="0" applyNumberFormat="1" applyFont="1" applyFill="1" applyBorder="1" applyAlignment="1">
      <alignment horizontal="left" vertical="center" wrapText="1"/>
    </xf>
    <xf numFmtId="165" fontId="9" fillId="2" borderId="14" xfId="2" applyNumberFormat="1" applyFont="1" applyFill="1" applyBorder="1" applyAlignment="1" applyProtection="1">
      <alignment horizontal="right" vertical="center"/>
      <protection hidden="1"/>
    </xf>
    <xf numFmtId="4" fontId="9" fillId="2" borderId="9" xfId="2" applyNumberFormat="1" applyFont="1" applyFill="1" applyBorder="1" applyAlignment="1" applyProtection="1">
      <alignment horizontal="right" vertical="center"/>
      <protection hidden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2" borderId="12" xfId="2" applyNumberFormat="1" applyFont="1" applyFill="1" applyBorder="1" applyAlignment="1"/>
    <xf numFmtId="4" fontId="11" fillId="0" borderId="12" xfId="2" applyNumberFormat="1" applyFont="1" applyFill="1" applyBorder="1" applyAlignment="1"/>
    <xf numFmtId="1" fontId="9" fillId="2" borderId="2" xfId="0" applyNumberFormat="1" applyFont="1" applyFill="1" applyBorder="1" applyAlignment="1">
      <alignment horizontal="left" vertical="center" wrapText="1"/>
    </xf>
    <xf numFmtId="165" fontId="9" fillId="2" borderId="14" xfId="2" applyNumberFormat="1" applyFont="1" applyFill="1" applyBorder="1" applyAlignment="1">
      <alignment vertical="center"/>
    </xf>
    <xf numFmtId="4" fontId="9" fillId="2" borderId="9" xfId="2" applyNumberFormat="1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horizontal="justify" vertical="center" wrapText="1"/>
    </xf>
    <xf numFmtId="1" fontId="11" fillId="0" borderId="1" xfId="0" applyNumberFormat="1" applyFont="1" applyFill="1" applyBorder="1" applyAlignment="1">
      <alignment horizontal="justify" vertical="center" wrapText="1"/>
    </xf>
    <xf numFmtId="165" fontId="11" fillId="2" borderId="11" xfId="2" applyNumberFormat="1" applyFont="1" applyFill="1" applyBorder="1" applyAlignment="1"/>
    <xf numFmtId="4" fontId="11" fillId="0" borderId="11" xfId="2" applyNumberFormat="1" applyFont="1" applyFill="1" applyBorder="1" applyAlignment="1"/>
    <xf numFmtId="0" fontId="9" fillId="2" borderId="9" xfId="2" applyFont="1" applyFill="1" applyBorder="1"/>
    <xf numFmtId="165" fontId="11" fillId="2" borderId="12" xfId="2" applyNumberFormat="1" applyFont="1" applyFill="1" applyBorder="1"/>
    <xf numFmtId="4" fontId="11" fillId="0" borderId="12" xfId="2" applyNumberFormat="1" applyFont="1" applyFill="1" applyBorder="1"/>
    <xf numFmtId="165" fontId="11" fillId="2" borderId="11" xfId="2" applyNumberFormat="1" applyFont="1" applyFill="1" applyBorder="1"/>
    <xf numFmtId="4" fontId="11" fillId="0" borderId="11" xfId="2" applyNumberFormat="1" applyFont="1" applyFill="1" applyBorder="1"/>
    <xf numFmtId="1" fontId="11" fillId="0" borderId="5" xfId="0" applyNumberFormat="1" applyFont="1" applyFill="1" applyBorder="1" applyAlignment="1">
      <alignment horizontal="left" vertical="center" wrapText="1"/>
    </xf>
    <xf numFmtId="165" fontId="11" fillId="2" borderId="15" xfId="2" applyNumberFormat="1" applyFont="1" applyFill="1" applyBorder="1"/>
    <xf numFmtId="4" fontId="11" fillId="0" borderId="15" xfId="2" applyNumberFormat="1" applyFont="1" applyFill="1" applyBorder="1"/>
    <xf numFmtId="165" fontId="9" fillId="2" borderId="9" xfId="2" applyNumberFormat="1" applyFont="1" applyFill="1" applyBorder="1"/>
    <xf numFmtId="165" fontId="9" fillId="2" borderId="14" xfId="0" applyNumberFormat="1" applyFont="1" applyFill="1" applyBorder="1"/>
    <xf numFmtId="4" fontId="9" fillId="2" borderId="9" xfId="2" applyNumberFormat="1" applyFont="1" applyFill="1" applyBorder="1"/>
    <xf numFmtId="1" fontId="9" fillId="2" borderId="6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165" fontId="11" fillId="2" borderId="16" xfId="2" applyNumberFormat="1" applyFont="1" applyFill="1" applyBorder="1"/>
    <xf numFmtId="4" fontId="11" fillId="0" borderId="16" xfId="2" applyNumberFormat="1" applyFont="1" applyFill="1" applyBorder="1"/>
    <xf numFmtId="1" fontId="9" fillId="2" borderId="2" xfId="0" applyNumberFormat="1" applyFont="1" applyFill="1" applyBorder="1" applyAlignment="1">
      <alignment horizontal="justify" vertical="center" wrapText="1"/>
    </xf>
    <xf numFmtId="165" fontId="9" fillId="2" borderId="14" xfId="2" applyNumberFormat="1" applyFont="1" applyFill="1" applyBorder="1"/>
    <xf numFmtId="1" fontId="11" fillId="0" borderId="2" xfId="0" applyNumberFormat="1" applyFont="1" applyFill="1" applyBorder="1" applyAlignment="1">
      <alignment horizontal="justify" vertical="center" wrapText="1"/>
    </xf>
    <xf numFmtId="165" fontId="11" fillId="2" borderId="9" xfId="2" applyNumberFormat="1" applyFont="1" applyFill="1" applyBorder="1"/>
    <xf numFmtId="1" fontId="9" fillId="2" borderId="8" xfId="0" applyNumberFormat="1" applyFont="1" applyFill="1" applyBorder="1" applyAlignment="1">
      <alignment horizontal="justify" vertical="center" wrapText="1"/>
    </xf>
    <xf numFmtId="0" fontId="11" fillId="0" borderId="7" xfId="0" applyFont="1" applyBorder="1" applyAlignment="1">
      <alignment horizontal="justify" wrapText="1"/>
    </xf>
    <xf numFmtId="49" fontId="11" fillId="0" borderId="1" xfId="0" applyNumberFormat="1" applyFont="1" applyFill="1" applyBorder="1" applyAlignment="1">
      <alignment horizontal="justify" vertical="center" wrapText="1"/>
    </xf>
    <xf numFmtId="165" fontId="9" fillId="2" borderId="10" xfId="2" applyNumberFormat="1" applyFont="1" applyFill="1" applyBorder="1"/>
    <xf numFmtId="4" fontId="9" fillId="2" borderId="10" xfId="2" applyNumberFormat="1" applyFont="1" applyFill="1" applyBorder="1"/>
    <xf numFmtId="1" fontId="9" fillId="0" borderId="9" xfId="0" applyNumberFormat="1" applyFont="1" applyFill="1" applyBorder="1" applyAlignment="1">
      <alignment horizontal="left" vertical="center" wrapText="1"/>
    </xf>
    <xf numFmtId="4" fontId="9" fillId="0" borderId="9" xfId="2" applyNumberFormat="1" applyFont="1" applyFill="1" applyBorder="1"/>
    <xf numFmtId="1" fontId="11" fillId="0" borderId="9" xfId="0" applyNumberFormat="1" applyFont="1" applyFill="1" applyBorder="1" applyAlignment="1">
      <alignment horizontal="left" vertical="center" wrapText="1"/>
    </xf>
    <xf numFmtId="4" fontId="11" fillId="0" borderId="9" xfId="2" applyNumberFormat="1" applyFont="1" applyFill="1" applyBorder="1"/>
    <xf numFmtId="0" fontId="12" fillId="0" borderId="9" xfId="0" applyFont="1" applyFill="1" applyBorder="1" applyAlignment="1">
      <alignment horizontal="justify" vertical="center" wrapText="1"/>
    </xf>
    <xf numFmtId="1" fontId="11" fillId="0" borderId="4" xfId="0" applyNumberFormat="1" applyFont="1" applyFill="1" applyBorder="1" applyAlignment="1">
      <alignment horizontal="justify" vertical="center" wrapText="1"/>
    </xf>
    <xf numFmtId="165" fontId="9" fillId="2" borderId="16" xfId="2" applyNumberFormat="1" applyFont="1" applyFill="1" applyBorder="1"/>
    <xf numFmtId="0" fontId="2" fillId="0" borderId="0" xfId="2" applyFont="1"/>
    <xf numFmtId="165" fontId="1" fillId="0" borderId="0" xfId="0" applyNumberFormat="1" applyFont="1"/>
    <xf numFmtId="0" fontId="1" fillId="0" borderId="0" xfId="0" applyFont="1"/>
    <xf numFmtId="165" fontId="11" fillId="0" borderId="9" xfId="2" applyNumberFormat="1" applyFont="1" applyFill="1" applyBorder="1"/>
    <xf numFmtId="165" fontId="11" fillId="0" borderId="17" xfId="0" applyNumberFormat="1" applyFont="1" applyFill="1" applyBorder="1"/>
    <xf numFmtId="165" fontId="9" fillId="2" borderId="19" xfId="2" applyNumberFormat="1" applyFont="1" applyFill="1" applyBorder="1"/>
    <xf numFmtId="49" fontId="11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 wrapText="1"/>
    </xf>
    <xf numFmtId="0" fontId="11" fillId="0" borderId="3" xfId="2" applyNumberFormat="1" applyFont="1" applyFill="1" applyBorder="1" applyAlignment="1" applyProtection="1">
      <alignment horizontal="right"/>
      <protection hidden="1"/>
    </xf>
    <xf numFmtId="0" fontId="9" fillId="2" borderId="9" xfId="2" applyNumberFormat="1" applyFont="1" applyFill="1" applyBorder="1" applyAlignment="1" applyProtection="1">
      <alignment horizontal="right"/>
      <protection hidden="1"/>
    </xf>
    <xf numFmtId="0" fontId="11" fillId="0" borderId="1" xfId="2" applyNumberFormat="1" applyFont="1" applyFill="1" applyBorder="1" applyAlignment="1" applyProtection="1">
      <alignment horizontal="right"/>
      <protection hidden="1"/>
    </xf>
    <xf numFmtId="0" fontId="9" fillId="2" borderId="9" xfId="2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1" fillId="0" borderId="5" xfId="2" applyFont="1" applyBorder="1" applyAlignment="1">
      <alignment horizontal="right"/>
    </xf>
    <xf numFmtId="0" fontId="9" fillId="2" borderId="10" xfId="2" applyFont="1" applyFill="1" applyBorder="1" applyAlignment="1">
      <alignment horizontal="right"/>
    </xf>
    <xf numFmtId="0" fontId="11" fillId="0" borderId="3" xfId="2" applyFont="1" applyBorder="1" applyAlignment="1">
      <alignment horizontal="right"/>
    </xf>
    <xf numFmtId="0" fontId="11" fillId="0" borderId="13" xfId="2" applyFont="1" applyBorder="1" applyAlignment="1">
      <alignment horizontal="right" wrapText="1"/>
    </xf>
    <xf numFmtId="0" fontId="11" fillId="0" borderId="4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49" fontId="9" fillId="0" borderId="9" xfId="0" applyNumberFormat="1" applyFont="1" applyFill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justify" wrapText="1"/>
    </xf>
    <xf numFmtId="165" fontId="11" fillId="2" borderId="13" xfId="2" applyNumberFormat="1" applyFont="1" applyFill="1" applyBorder="1"/>
    <xf numFmtId="165" fontId="9" fillId="2" borderId="2" xfId="2" applyNumberFormat="1" applyFont="1" applyFill="1" applyBorder="1" applyAlignment="1" applyProtection="1">
      <alignment horizontal="right" vertical="center"/>
      <protection hidden="1"/>
    </xf>
    <xf numFmtId="165" fontId="11" fillId="0" borderId="12" xfId="2" applyNumberFormat="1" applyFont="1" applyFill="1" applyBorder="1" applyAlignment="1"/>
    <xf numFmtId="165" fontId="9" fillId="2" borderId="9" xfId="2" applyNumberFormat="1" applyFont="1" applyFill="1" applyBorder="1" applyAlignment="1">
      <alignment vertical="center"/>
    </xf>
    <xf numFmtId="165" fontId="11" fillId="0" borderId="11" xfId="2" applyNumberFormat="1" applyFont="1" applyFill="1" applyBorder="1" applyAlignment="1"/>
    <xf numFmtId="165" fontId="11" fillId="0" borderId="12" xfId="2" applyNumberFormat="1" applyFont="1" applyFill="1" applyBorder="1"/>
    <xf numFmtId="165" fontId="11" fillId="0" borderId="16" xfId="2" applyNumberFormat="1" applyFont="1" applyFill="1" applyBorder="1"/>
    <xf numFmtId="165" fontId="11" fillId="0" borderId="11" xfId="2" applyNumberFormat="1" applyFont="1" applyFill="1" applyBorder="1"/>
    <xf numFmtId="165" fontId="11" fillId="0" borderId="15" xfId="2" applyNumberFormat="1" applyFont="1" applyFill="1" applyBorder="1"/>
    <xf numFmtId="165" fontId="11" fillId="0" borderId="7" xfId="2" applyNumberFormat="1" applyFont="1" applyFill="1" applyBorder="1"/>
    <xf numFmtId="165" fontId="9" fillId="0" borderId="12" xfId="2" applyNumberFormat="1" applyFont="1" applyFill="1" applyBorder="1"/>
    <xf numFmtId="0" fontId="8" fillId="0" borderId="0" xfId="2" applyFont="1" applyAlignment="1" applyProtection="1">
      <alignment horizontal="center" wrapText="1"/>
      <protection hidden="1"/>
    </xf>
    <xf numFmtId="44" fontId="8" fillId="0" borderId="0" xfId="1" applyFont="1" applyAlignment="1" applyProtection="1">
      <alignment horizontal="center" wrapText="1"/>
      <protection hidden="1"/>
    </xf>
    <xf numFmtId="0" fontId="4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10" xfId="2" applyNumberFormat="1" applyFont="1" applyFill="1" applyBorder="1" applyAlignment="1">
      <alignment horizontal="center" vertical="center" wrapText="1"/>
    </xf>
    <xf numFmtId="4" fontId="6" fillId="2" borderId="18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24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49" fontId="16" fillId="3" borderId="41" xfId="0" applyNumberFormat="1" applyFont="1" applyFill="1" applyBorder="1" applyAlignment="1">
      <alignment horizontal="center" vertical="center" wrapText="1"/>
    </xf>
    <xf numFmtId="166" fontId="16" fillId="3" borderId="41" xfId="0" applyNumberFormat="1" applyFont="1" applyFill="1" applyBorder="1" applyAlignment="1">
      <alignment horizontal="center" vertical="center" wrapText="1"/>
    </xf>
    <xf numFmtId="167" fontId="16" fillId="3" borderId="41" xfId="0" applyNumberFormat="1" applyFont="1" applyFill="1" applyBorder="1" applyAlignment="1">
      <alignment horizontal="center" vertical="center" wrapText="1"/>
    </xf>
    <xf numFmtId="167" fontId="16" fillId="3" borderId="42" xfId="0" applyNumberFormat="1" applyFont="1" applyFill="1" applyBorder="1" applyAlignment="1">
      <alignment horizontal="center" vertical="center" wrapText="1"/>
    </xf>
    <xf numFmtId="167" fontId="16" fillId="3" borderId="2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4" borderId="40" xfId="0" applyFont="1" applyFill="1" applyBorder="1" applyAlignment="1">
      <alignment horizontal="left" vertical="center" wrapText="1"/>
    </xf>
    <xf numFmtId="49" fontId="15" fillId="4" borderId="41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166" fontId="19" fillId="0" borderId="41" xfId="0" applyNumberFormat="1" applyFont="1" applyFill="1" applyBorder="1" applyAlignment="1">
      <alignment horizontal="center" vertical="center" wrapText="1"/>
    </xf>
    <xf numFmtId="167" fontId="19" fillId="0" borderId="41" xfId="0" applyNumberFormat="1" applyFont="1" applyFill="1" applyBorder="1" applyAlignment="1">
      <alignment horizontal="center" vertical="center" wrapText="1"/>
    </xf>
    <xf numFmtId="167" fontId="19" fillId="0" borderId="42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40" xfId="0" applyFont="1" applyBorder="1" applyAlignment="1">
      <alignment horizontal="left" vertical="center" wrapText="1"/>
    </xf>
    <xf numFmtId="166" fontId="15" fillId="0" borderId="41" xfId="0" applyNumberFormat="1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left" vertical="center" wrapText="1"/>
    </xf>
    <xf numFmtId="49" fontId="19" fillId="5" borderId="41" xfId="0" applyNumberFormat="1" applyFont="1" applyFill="1" applyBorder="1" applyAlignment="1">
      <alignment horizontal="center" vertical="center" wrapText="1"/>
    </xf>
    <xf numFmtId="166" fontId="19" fillId="5" borderId="41" xfId="0" applyNumberFormat="1" applyFont="1" applyFill="1" applyBorder="1" applyAlignment="1">
      <alignment horizontal="center" vertical="center" wrapText="1"/>
    </xf>
    <xf numFmtId="167" fontId="19" fillId="5" borderId="42" xfId="0" applyNumberFormat="1" applyFont="1" applyFill="1" applyBorder="1" applyAlignment="1">
      <alignment horizontal="center" vertical="center" wrapText="1"/>
    </xf>
    <xf numFmtId="167" fontId="16" fillId="5" borderId="28" xfId="0" applyNumberFormat="1" applyFont="1" applyFill="1" applyBorder="1" applyAlignment="1">
      <alignment horizontal="center" vertical="center" wrapText="1"/>
    </xf>
    <xf numFmtId="167" fontId="16" fillId="5" borderId="41" xfId="0" applyNumberFormat="1" applyFont="1" applyFill="1" applyBorder="1" applyAlignment="1">
      <alignment horizontal="center" vertical="center" wrapText="1"/>
    </xf>
    <xf numFmtId="167" fontId="16" fillId="5" borderId="42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7" fontId="20" fillId="6" borderId="42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49" fontId="20" fillId="3" borderId="41" xfId="0" applyNumberFormat="1" applyFont="1" applyFill="1" applyBorder="1" applyAlignment="1">
      <alignment horizontal="center" vertical="center" wrapText="1"/>
    </xf>
    <xf numFmtId="167" fontId="20" fillId="3" borderId="42" xfId="0" applyNumberFormat="1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167" fontId="19" fillId="6" borderId="42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left" vertical="center" wrapText="1"/>
    </xf>
    <xf numFmtId="0" fontId="19" fillId="4" borderId="41" xfId="0" applyFont="1" applyFill="1" applyBorder="1" applyAlignment="1">
      <alignment horizontal="center" vertical="center" wrapText="1"/>
    </xf>
    <xf numFmtId="166" fontId="15" fillId="4" borderId="41" xfId="0" applyNumberFormat="1" applyFont="1" applyFill="1" applyBorder="1" applyAlignment="1">
      <alignment horizontal="center" vertical="center" wrapText="1"/>
    </xf>
    <xf numFmtId="166" fontId="19" fillId="4" borderId="41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166" fontId="15" fillId="0" borderId="26" xfId="0" applyNumberFormat="1" applyFont="1" applyFill="1" applyBorder="1" applyAlignment="1">
      <alignment horizontal="center" vertical="center" wrapText="1"/>
    </xf>
    <xf numFmtId="166" fontId="19" fillId="0" borderId="26" xfId="0" applyNumberFormat="1" applyFont="1" applyFill="1" applyBorder="1" applyAlignment="1">
      <alignment horizontal="center" vertical="center" wrapText="1"/>
    </xf>
    <xf numFmtId="167" fontId="19" fillId="0" borderId="26" xfId="0" applyNumberFormat="1" applyFont="1" applyFill="1" applyBorder="1" applyAlignment="1">
      <alignment horizontal="center" vertical="center" wrapText="1"/>
    </xf>
    <xf numFmtId="167" fontId="19" fillId="0" borderId="43" xfId="0" applyNumberFormat="1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166" fontId="20" fillId="6" borderId="41" xfId="0" applyNumberFormat="1" applyFont="1" applyFill="1" applyBorder="1" applyAlignment="1">
      <alignment horizontal="center" vertical="center" wrapText="1"/>
    </xf>
    <xf numFmtId="167" fontId="20" fillId="6" borderId="26" xfId="0" applyNumberFormat="1" applyFont="1" applyFill="1" applyBorder="1" applyAlignment="1">
      <alignment horizontal="center" vertical="center" wrapText="1"/>
    </xf>
    <xf numFmtId="167" fontId="19" fillId="0" borderId="44" xfId="0" applyNumberFormat="1" applyFont="1" applyFill="1" applyBorder="1" applyAlignment="1">
      <alignment horizontal="center" vertical="center" wrapText="1"/>
    </xf>
    <xf numFmtId="167" fontId="19" fillId="0" borderId="25" xfId="0" applyNumberFormat="1" applyFont="1" applyFill="1" applyBorder="1" applyAlignment="1">
      <alignment horizontal="center" vertical="center" wrapText="1"/>
    </xf>
    <xf numFmtId="167" fontId="19" fillId="0" borderId="45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5" borderId="41" xfId="0" applyFont="1" applyFill="1" applyBorder="1" applyAlignment="1">
      <alignment horizontal="center" vertical="center" wrapText="1"/>
    </xf>
    <xf numFmtId="167" fontId="19" fillId="5" borderId="26" xfId="0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166" fontId="16" fillId="3" borderId="46" xfId="0" applyNumberFormat="1" applyFont="1" applyFill="1" applyBorder="1" applyAlignment="1">
      <alignment horizontal="center" vertical="center" wrapText="1"/>
    </xf>
    <xf numFmtId="167" fontId="16" fillId="3" borderId="46" xfId="0" applyNumberFormat="1" applyFont="1" applyFill="1" applyBorder="1" applyAlignment="1">
      <alignment horizontal="center" vertical="center" wrapText="1"/>
    </xf>
    <xf numFmtId="167" fontId="16" fillId="3" borderId="47" xfId="0" applyNumberFormat="1" applyFont="1" applyFill="1" applyBorder="1" applyAlignment="1">
      <alignment horizontal="center" vertical="center" wrapText="1"/>
    </xf>
    <xf numFmtId="167" fontId="16" fillId="3" borderId="48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8" fontId="15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/>
  </cellXfs>
  <cellStyles count="3">
    <cellStyle name="Денежный" xfId="1" builtinId="4"/>
    <cellStyle name="Обычный" xfId="0" builtinId="0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="59" zoomScaleNormal="63" zoomScaleSheetLayoutView="59" workbookViewId="0">
      <pane xSplit="5" ySplit="6" topLeftCell="F7" activePane="bottomRight" state="frozen"/>
      <selection pane="topRight" activeCell="H1" sqref="H1"/>
      <selection pane="bottomLeft" activeCell="A7" sqref="A7"/>
      <selection pane="bottomRight" activeCell="D26" sqref="D26"/>
    </sheetView>
  </sheetViews>
  <sheetFormatPr defaultRowHeight="13.2" x14ac:dyDescent="0.25"/>
  <cols>
    <col min="1" max="1" width="35" customWidth="1"/>
    <col min="2" max="2" width="138.5546875" customWidth="1"/>
    <col min="3" max="3" width="21.6640625" customWidth="1"/>
    <col min="4" max="4" width="21.6640625" style="58" customWidth="1"/>
    <col min="5" max="5" width="20.44140625" customWidth="1"/>
  </cols>
  <sheetData>
    <row r="1" spans="1:5" ht="18.75" customHeight="1" x14ac:dyDescent="0.35">
      <c r="A1" s="91" t="s">
        <v>55</v>
      </c>
      <c r="B1" s="91"/>
      <c r="C1" s="91"/>
      <c r="D1" s="91"/>
      <c r="E1" s="91"/>
    </row>
    <row r="2" spans="1:5" ht="15" customHeight="1" x14ac:dyDescent="0.35">
      <c r="A2" s="91" t="s">
        <v>56</v>
      </c>
      <c r="B2" s="91"/>
      <c r="C2" s="91"/>
      <c r="D2" s="91"/>
      <c r="E2" s="91"/>
    </row>
    <row r="3" spans="1:5" ht="17.25" customHeight="1" x14ac:dyDescent="0.35">
      <c r="A3" s="92" t="s">
        <v>97</v>
      </c>
      <c r="B3" s="92"/>
      <c r="C3" s="92"/>
      <c r="D3" s="92"/>
      <c r="E3" s="92"/>
    </row>
    <row r="4" spans="1:5" ht="21" customHeight="1" thickBot="1" x14ac:dyDescent="0.4">
      <c r="A4" s="3"/>
      <c r="B4" s="1"/>
      <c r="C4" s="2"/>
      <c r="D4" s="56"/>
      <c r="E4" s="9" t="s">
        <v>57</v>
      </c>
    </row>
    <row r="5" spans="1:5" ht="19.5" customHeight="1" x14ac:dyDescent="0.25">
      <c r="A5" s="93" t="s">
        <v>17</v>
      </c>
      <c r="B5" s="93" t="s">
        <v>43</v>
      </c>
      <c r="C5" s="95" t="s">
        <v>69</v>
      </c>
      <c r="D5" s="95" t="s">
        <v>96</v>
      </c>
      <c r="E5" s="95" t="s">
        <v>68</v>
      </c>
    </row>
    <row r="6" spans="1:5" ht="55.5" customHeight="1" thickBot="1" x14ac:dyDescent="0.3">
      <c r="A6" s="94"/>
      <c r="B6" s="94"/>
      <c r="C6" s="96"/>
      <c r="D6" s="96"/>
      <c r="E6" s="96"/>
    </row>
    <row r="7" spans="1:5" ht="22.5" customHeight="1" thickBot="1" x14ac:dyDescent="0.3">
      <c r="A7" s="11"/>
      <c r="B7" s="12" t="s">
        <v>6</v>
      </c>
      <c r="C7" s="13">
        <f>SUM(C8,C9,C13,C17:C19,C26,C28:C29,C37:C39)</f>
        <v>6612859.4689999996</v>
      </c>
      <c r="D7" s="81">
        <f>SUM(D8,D9,D13,D17,D18,D19,D26,D28,D29,D37,D39)</f>
        <v>6770852.4670000011</v>
      </c>
      <c r="E7" s="14">
        <f t="shared" ref="E7:E17" si="0">D7/C7*100</f>
        <v>102.38917821769307</v>
      </c>
    </row>
    <row r="8" spans="1:5" ht="24.75" customHeight="1" thickBot="1" x14ac:dyDescent="0.4">
      <c r="A8" s="64" t="s">
        <v>19</v>
      </c>
      <c r="B8" s="15" t="s">
        <v>42</v>
      </c>
      <c r="C8" s="16">
        <v>4086599.9</v>
      </c>
      <c r="D8" s="82">
        <v>4180776.1839999999</v>
      </c>
      <c r="E8" s="17">
        <f t="shared" si="0"/>
        <v>102.30451442041095</v>
      </c>
    </row>
    <row r="9" spans="1:5" ht="24.75" customHeight="1" thickBot="1" x14ac:dyDescent="0.35">
      <c r="A9" s="65" t="s">
        <v>20</v>
      </c>
      <c r="B9" s="18" t="s">
        <v>7</v>
      </c>
      <c r="C9" s="19">
        <f>SUM(C10:C12)</f>
        <v>781813.41</v>
      </c>
      <c r="D9" s="83">
        <f>SUM(D10,D11,D12)</f>
        <v>798237.85200000007</v>
      </c>
      <c r="E9" s="20">
        <f t="shared" si="0"/>
        <v>102.10081354322126</v>
      </c>
    </row>
    <row r="10" spans="1:5" ht="24" customHeight="1" x14ac:dyDescent="0.35">
      <c r="A10" s="64" t="s">
        <v>22</v>
      </c>
      <c r="B10" s="21" t="s">
        <v>21</v>
      </c>
      <c r="C10" s="16">
        <v>484699.31</v>
      </c>
      <c r="D10" s="82">
        <v>493965.52500000002</v>
      </c>
      <c r="E10" s="17">
        <f t="shared" si="0"/>
        <v>101.91174503631953</v>
      </c>
    </row>
    <row r="11" spans="1:5" ht="24" customHeight="1" x14ac:dyDescent="0.35">
      <c r="A11" s="66" t="s">
        <v>23</v>
      </c>
      <c r="B11" s="22" t="s">
        <v>8</v>
      </c>
      <c r="C11" s="23">
        <v>296550</v>
      </c>
      <c r="D11" s="84">
        <v>303706.19099999999</v>
      </c>
      <c r="E11" s="24">
        <f t="shared" si="0"/>
        <v>102.41314820435001</v>
      </c>
    </row>
    <row r="12" spans="1:5" ht="20.25" customHeight="1" thickBot="1" x14ac:dyDescent="0.4">
      <c r="A12" s="66" t="s">
        <v>44</v>
      </c>
      <c r="B12" s="22" t="s">
        <v>45</v>
      </c>
      <c r="C12" s="16">
        <v>564.1</v>
      </c>
      <c r="D12" s="82">
        <v>566.13599999999997</v>
      </c>
      <c r="E12" s="17">
        <f t="shared" si="0"/>
        <v>100.36092891331323</v>
      </c>
    </row>
    <row r="13" spans="1:5" ht="19.5" customHeight="1" thickBot="1" x14ac:dyDescent="0.35">
      <c r="A13" s="67" t="s">
        <v>24</v>
      </c>
      <c r="B13" s="18" t="s">
        <v>9</v>
      </c>
      <c r="C13" s="19">
        <f>SUM(C14:C16)</f>
        <v>549512.98</v>
      </c>
      <c r="D13" s="83">
        <f>SUM(D14,D15,D16)</f>
        <v>563107</v>
      </c>
      <c r="E13" s="20">
        <f t="shared" si="0"/>
        <v>102.47383055446662</v>
      </c>
    </row>
    <row r="14" spans="1:5" ht="35.25" customHeight="1" x14ac:dyDescent="0.35">
      <c r="A14" s="68" t="s">
        <v>25</v>
      </c>
      <c r="B14" s="21" t="s">
        <v>75</v>
      </c>
      <c r="C14" s="26">
        <v>52000</v>
      </c>
      <c r="D14" s="85">
        <v>55536.760999999999</v>
      </c>
      <c r="E14" s="27">
        <f t="shared" si="0"/>
        <v>106.80146346153845</v>
      </c>
    </row>
    <row r="15" spans="1:5" ht="24" customHeight="1" x14ac:dyDescent="0.35">
      <c r="A15" s="69" t="s">
        <v>26</v>
      </c>
      <c r="B15" s="22" t="s">
        <v>27</v>
      </c>
      <c r="C15" s="28">
        <v>387847</v>
      </c>
      <c r="D15" s="85">
        <v>394324.27899999998</v>
      </c>
      <c r="E15" s="29">
        <f t="shared" si="0"/>
        <v>101.67006035885284</v>
      </c>
    </row>
    <row r="16" spans="1:5" ht="24" customHeight="1" thickBot="1" x14ac:dyDescent="0.4">
      <c r="A16" s="70" t="s">
        <v>28</v>
      </c>
      <c r="B16" s="30" t="s">
        <v>10</v>
      </c>
      <c r="C16" s="31">
        <v>109665.98</v>
      </c>
      <c r="D16" s="85">
        <v>113245.96</v>
      </c>
      <c r="E16" s="32">
        <f t="shared" si="0"/>
        <v>103.26443989284554</v>
      </c>
    </row>
    <row r="17" spans="1:5" ht="26.25" customHeight="1" thickBot="1" x14ac:dyDescent="0.35">
      <c r="A17" s="71" t="s">
        <v>29</v>
      </c>
      <c r="B17" s="18" t="s">
        <v>11</v>
      </c>
      <c r="C17" s="33">
        <v>37500</v>
      </c>
      <c r="D17" s="33">
        <v>37561.527000000002</v>
      </c>
      <c r="E17" s="35">
        <f t="shared" si="0"/>
        <v>100.16407200000002</v>
      </c>
    </row>
    <row r="18" spans="1:5" ht="37.5" customHeight="1" thickBot="1" x14ac:dyDescent="0.35">
      <c r="A18" s="71" t="s">
        <v>46</v>
      </c>
      <c r="B18" s="18" t="s">
        <v>3</v>
      </c>
      <c r="C18" s="33">
        <v>0</v>
      </c>
      <c r="D18" s="33">
        <v>142.33199999999999</v>
      </c>
      <c r="E18" s="35">
        <v>0</v>
      </c>
    </row>
    <row r="19" spans="1:5" ht="36.75" customHeight="1" thickBot="1" x14ac:dyDescent="0.35">
      <c r="A19" s="67" t="s">
        <v>30</v>
      </c>
      <c r="B19" s="36" t="s">
        <v>12</v>
      </c>
      <c r="C19" s="33">
        <f>SUM(C20:C25)</f>
        <v>807534.68900000001</v>
      </c>
      <c r="D19" s="33">
        <f>SUM(D20:D25)</f>
        <v>831909.39</v>
      </c>
      <c r="E19" s="35">
        <f t="shared" ref="E19:E30" si="1">D19/C19*100</f>
        <v>103.01840915715759</v>
      </c>
    </row>
    <row r="20" spans="1:5" s="6" customFormat="1" ht="39.75" customHeight="1" x14ac:dyDescent="0.35">
      <c r="A20" s="72" t="s">
        <v>58</v>
      </c>
      <c r="B20" s="37" t="s">
        <v>76</v>
      </c>
      <c r="C20" s="38">
        <v>4325.7</v>
      </c>
      <c r="D20" s="86">
        <v>4325.6450000000004</v>
      </c>
      <c r="E20" s="39">
        <f t="shared" si="1"/>
        <v>99.99872852948657</v>
      </c>
    </row>
    <row r="21" spans="1:5" ht="56.25" customHeight="1" x14ac:dyDescent="0.35">
      <c r="A21" s="72" t="s">
        <v>64</v>
      </c>
      <c r="B21" s="22" t="s">
        <v>31</v>
      </c>
      <c r="C21" s="28">
        <v>678412</v>
      </c>
      <c r="D21" s="87">
        <v>697819.73300000001</v>
      </c>
      <c r="E21" s="29">
        <f t="shared" si="1"/>
        <v>102.86075909624239</v>
      </c>
    </row>
    <row r="22" spans="1:5" s="8" customFormat="1" ht="57" customHeight="1" x14ac:dyDescent="0.35">
      <c r="A22" s="69" t="s">
        <v>5</v>
      </c>
      <c r="B22" s="22" t="s">
        <v>65</v>
      </c>
      <c r="C22" s="28">
        <v>1063</v>
      </c>
      <c r="D22" s="87">
        <v>1063.492</v>
      </c>
      <c r="E22" s="29">
        <f t="shared" si="1"/>
        <v>100.04628410159924</v>
      </c>
    </row>
    <row r="23" spans="1:5" ht="54" customHeight="1" x14ac:dyDescent="0.35">
      <c r="A23" s="69" t="s">
        <v>59</v>
      </c>
      <c r="B23" s="22" t="s">
        <v>70</v>
      </c>
      <c r="C23" s="28">
        <v>109864.469</v>
      </c>
      <c r="D23" s="87">
        <v>114688.9</v>
      </c>
      <c r="E23" s="29">
        <f t="shared" si="1"/>
        <v>104.39125683117805</v>
      </c>
    </row>
    <row r="24" spans="1:5" ht="38.25" customHeight="1" x14ac:dyDescent="0.35">
      <c r="A24" s="69" t="s">
        <v>60</v>
      </c>
      <c r="B24" s="22" t="s">
        <v>13</v>
      </c>
      <c r="C24" s="28">
        <v>11396.8</v>
      </c>
      <c r="D24" s="87">
        <v>11396.763999999999</v>
      </c>
      <c r="E24" s="29">
        <f t="shared" si="1"/>
        <v>99.999684121858763</v>
      </c>
    </row>
    <row r="25" spans="1:5" ht="54" customHeight="1" thickBot="1" x14ac:dyDescent="0.4">
      <c r="A25" s="73" t="s">
        <v>72</v>
      </c>
      <c r="B25" s="22" t="s">
        <v>1</v>
      </c>
      <c r="C25" s="28">
        <v>2472.7199999999998</v>
      </c>
      <c r="D25" s="87">
        <v>2614.8560000000002</v>
      </c>
      <c r="E25" s="29">
        <f t="shared" si="1"/>
        <v>105.74816396518816</v>
      </c>
    </row>
    <row r="26" spans="1:5" ht="24.75" customHeight="1" thickBot="1" x14ac:dyDescent="0.35">
      <c r="A26" s="67" t="s">
        <v>32</v>
      </c>
      <c r="B26" s="40" t="s">
        <v>77</v>
      </c>
      <c r="C26" s="41">
        <f>C27</f>
        <v>20000</v>
      </c>
      <c r="D26" s="33">
        <f>D27</f>
        <v>20591.353999999999</v>
      </c>
      <c r="E26" s="35">
        <f t="shared" si="1"/>
        <v>102.95676999999999</v>
      </c>
    </row>
    <row r="27" spans="1:5" ht="30" customHeight="1" thickBot="1" x14ac:dyDescent="0.4">
      <c r="A27" s="74" t="s">
        <v>61</v>
      </c>
      <c r="B27" s="42" t="s">
        <v>14</v>
      </c>
      <c r="C27" s="43">
        <v>20000</v>
      </c>
      <c r="D27" s="86">
        <v>20591.353999999999</v>
      </c>
      <c r="E27" s="39">
        <f t="shared" si="1"/>
        <v>102.95676999999999</v>
      </c>
    </row>
    <row r="28" spans="1:5" ht="27.75" customHeight="1" thickBot="1" x14ac:dyDescent="0.35">
      <c r="A28" s="71" t="s">
        <v>48</v>
      </c>
      <c r="B28" s="44" t="s">
        <v>78</v>
      </c>
      <c r="C28" s="33">
        <v>14830</v>
      </c>
      <c r="D28" s="33">
        <v>15739.127</v>
      </c>
      <c r="E28" s="35">
        <f t="shared" si="1"/>
        <v>106.13032366824007</v>
      </c>
    </row>
    <row r="29" spans="1:5" ht="21" customHeight="1" thickBot="1" x14ac:dyDescent="0.35">
      <c r="A29" s="67" t="s">
        <v>33</v>
      </c>
      <c r="B29" s="40" t="s">
        <v>47</v>
      </c>
      <c r="C29" s="41">
        <f>SUM(C30:C36)</f>
        <v>209171.28999999998</v>
      </c>
      <c r="D29" s="41">
        <f>SUM(D30:D36)</f>
        <v>215169.31599999999</v>
      </c>
      <c r="E29" s="35">
        <f t="shared" si="1"/>
        <v>102.86751876894769</v>
      </c>
    </row>
    <row r="30" spans="1:5" ht="28.5" customHeight="1" x14ac:dyDescent="0.35">
      <c r="A30" s="72" t="s">
        <v>62</v>
      </c>
      <c r="B30" s="21" t="s">
        <v>34</v>
      </c>
      <c r="C30" s="26">
        <v>25946.6</v>
      </c>
      <c r="D30" s="85">
        <v>26846.366000000002</v>
      </c>
      <c r="E30" s="27">
        <f t="shared" si="1"/>
        <v>103.46776070853214</v>
      </c>
    </row>
    <row r="31" spans="1:5" ht="54.75" customHeight="1" x14ac:dyDescent="0.35">
      <c r="A31" s="69" t="s">
        <v>94</v>
      </c>
      <c r="B31" s="4" t="s">
        <v>93</v>
      </c>
      <c r="C31" s="26">
        <v>0</v>
      </c>
      <c r="D31" s="85">
        <v>0.8</v>
      </c>
      <c r="E31" s="27">
        <v>0</v>
      </c>
    </row>
    <row r="32" spans="1:5" ht="66" customHeight="1" x14ac:dyDescent="0.35">
      <c r="A32" s="69" t="s">
        <v>95</v>
      </c>
      <c r="B32" s="5" t="s">
        <v>71</v>
      </c>
      <c r="C32" s="26">
        <v>0</v>
      </c>
      <c r="D32" s="85">
        <v>242.369</v>
      </c>
      <c r="E32" s="27">
        <v>0</v>
      </c>
    </row>
    <row r="33" spans="1:5" ht="58.5" customHeight="1" x14ac:dyDescent="0.35">
      <c r="A33" s="69" t="s">
        <v>66</v>
      </c>
      <c r="B33" s="22" t="s">
        <v>71</v>
      </c>
      <c r="C33" s="28">
        <v>122985.23</v>
      </c>
      <c r="D33" s="87">
        <v>126255.086</v>
      </c>
      <c r="E33" s="29">
        <f>D33/C33*100</f>
        <v>102.65873877700599</v>
      </c>
    </row>
    <row r="34" spans="1:5" ht="58.5" customHeight="1" x14ac:dyDescent="0.35">
      <c r="A34" s="69" t="s">
        <v>73</v>
      </c>
      <c r="B34" s="22" t="s">
        <v>74</v>
      </c>
      <c r="C34" s="28">
        <v>131.46</v>
      </c>
      <c r="D34" s="88">
        <v>131.465</v>
      </c>
      <c r="E34" s="29">
        <f>D34/C34*100</f>
        <v>100.00380343830824</v>
      </c>
    </row>
    <row r="35" spans="1:5" ht="32.25" customHeight="1" x14ac:dyDescent="0.35">
      <c r="A35" s="70" t="s">
        <v>63</v>
      </c>
      <c r="B35" s="79" t="s">
        <v>35</v>
      </c>
      <c r="C35" s="31">
        <v>54448</v>
      </c>
      <c r="D35" s="88">
        <v>56033.23</v>
      </c>
      <c r="E35" s="32">
        <f t="shared" ref="E35:E49" si="2">D35/C35*100</f>
        <v>102.91145680282105</v>
      </c>
    </row>
    <row r="36" spans="1:5" ht="37.5" customHeight="1" thickBot="1" x14ac:dyDescent="0.4">
      <c r="A36" s="70" t="s">
        <v>91</v>
      </c>
      <c r="B36" s="45" t="s">
        <v>92</v>
      </c>
      <c r="C36" s="80">
        <v>5660</v>
      </c>
      <c r="D36" s="89">
        <v>5660</v>
      </c>
      <c r="E36" s="32">
        <f t="shared" si="2"/>
        <v>100</v>
      </c>
    </row>
    <row r="37" spans="1:5" ht="24.75" customHeight="1" thickBot="1" x14ac:dyDescent="0.35">
      <c r="A37" s="67" t="s">
        <v>36</v>
      </c>
      <c r="B37" s="44" t="s">
        <v>15</v>
      </c>
      <c r="C37" s="33">
        <v>62362</v>
      </c>
      <c r="D37" s="34">
        <v>62776.059000000001</v>
      </c>
      <c r="E37" s="35">
        <f t="shared" si="2"/>
        <v>100.66396042461756</v>
      </c>
    </row>
    <row r="38" spans="1:5" s="6" customFormat="1" ht="55.5" hidden="1" customHeight="1" x14ac:dyDescent="0.35">
      <c r="A38" s="69" t="s">
        <v>4</v>
      </c>
      <c r="B38" s="46" t="s">
        <v>54</v>
      </c>
      <c r="C38" s="26">
        <v>0</v>
      </c>
      <c r="D38" s="90">
        <v>0</v>
      </c>
      <c r="E38" s="27" t="e">
        <f t="shared" si="2"/>
        <v>#DIV/0!</v>
      </c>
    </row>
    <row r="39" spans="1:5" ht="23.25" customHeight="1" thickBot="1" x14ac:dyDescent="0.35">
      <c r="A39" s="67" t="s">
        <v>49</v>
      </c>
      <c r="B39" s="44" t="s">
        <v>50</v>
      </c>
      <c r="C39" s="47">
        <v>43535.199999999997</v>
      </c>
      <c r="D39" s="61">
        <v>44842.326000000001</v>
      </c>
      <c r="E39" s="48">
        <f t="shared" si="2"/>
        <v>103.00245778128962</v>
      </c>
    </row>
    <row r="40" spans="1:5" ht="27" customHeight="1" thickBot="1" x14ac:dyDescent="0.35">
      <c r="A40" s="75" t="s">
        <v>37</v>
      </c>
      <c r="B40" s="18" t="s">
        <v>18</v>
      </c>
      <c r="C40" s="41">
        <f>C41+C46+C48+C50</f>
        <v>6368184.9050000003</v>
      </c>
      <c r="D40" s="33">
        <f>SUM(D41,D46,D48,D50)</f>
        <v>6323352.4199999999</v>
      </c>
      <c r="E40" s="35">
        <f t="shared" si="2"/>
        <v>99.295992725261485</v>
      </c>
    </row>
    <row r="41" spans="1:5" ht="30" customHeight="1" thickBot="1" x14ac:dyDescent="0.4">
      <c r="A41" s="76" t="s">
        <v>79</v>
      </c>
      <c r="B41" s="49" t="s">
        <v>53</v>
      </c>
      <c r="C41" s="33">
        <f>SUM(C42:C45)</f>
        <v>6340366.7920000004</v>
      </c>
      <c r="D41" s="59">
        <f>D42+D43+D44+D45</f>
        <v>6298855.6620000005</v>
      </c>
      <c r="E41" s="50">
        <f t="shared" si="2"/>
        <v>99.345288192910601</v>
      </c>
    </row>
    <row r="42" spans="1:5" ht="30" customHeight="1" thickBot="1" x14ac:dyDescent="0.4">
      <c r="A42" s="62" t="s">
        <v>87</v>
      </c>
      <c r="B42" s="51" t="s">
        <v>38</v>
      </c>
      <c r="C42" s="43">
        <v>642012.80000000005</v>
      </c>
      <c r="D42" s="59">
        <v>642012.80000000005</v>
      </c>
      <c r="E42" s="52">
        <f t="shared" si="2"/>
        <v>100</v>
      </c>
    </row>
    <row r="43" spans="1:5" ht="31.5" customHeight="1" thickBot="1" x14ac:dyDescent="0.4">
      <c r="A43" s="63" t="s">
        <v>88</v>
      </c>
      <c r="B43" s="53" t="s">
        <v>39</v>
      </c>
      <c r="C43" s="43">
        <v>1411594.1</v>
      </c>
      <c r="D43" s="59">
        <v>1375780.5120000001</v>
      </c>
      <c r="E43" s="52">
        <f t="shared" si="2"/>
        <v>97.462897585077741</v>
      </c>
    </row>
    <row r="44" spans="1:5" ht="28.5" customHeight="1" thickBot="1" x14ac:dyDescent="0.4">
      <c r="A44" s="62" t="s">
        <v>89</v>
      </c>
      <c r="B44" s="51" t="s">
        <v>40</v>
      </c>
      <c r="C44" s="43">
        <v>4207526.5599999996</v>
      </c>
      <c r="D44" s="59">
        <v>4201934.0130000003</v>
      </c>
      <c r="E44" s="52">
        <f t="shared" si="2"/>
        <v>99.867082312606968</v>
      </c>
    </row>
    <row r="45" spans="1:5" ht="24" customHeight="1" thickBot="1" x14ac:dyDescent="0.4">
      <c r="A45" s="62" t="s">
        <v>90</v>
      </c>
      <c r="B45" s="51" t="s">
        <v>41</v>
      </c>
      <c r="C45" s="43">
        <v>79233.331999999995</v>
      </c>
      <c r="D45" s="59">
        <v>79128.337</v>
      </c>
      <c r="E45" s="52">
        <f t="shared" si="2"/>
        <v>99.867486325073401</v>
      </c>
    </row>
    <row r="46" spans="1:5" ht="24.75" customHeight="1" thickBot="1" x14ac:dyDescent="0.35">
      <c r="A46" s="77" t="s">
        <v>81</v>
      </c>
      <c r="B46" s="18" t="s">
        <v>51</v>
      </c>
      <c r="C46" s="41">
        <f>C47</f>
        <v>64377.582999999999</v>
      </c>
      <c r="D46" s="33">
        <f>D47</f>
        <v>64377.582999999999</v>
      </c>
      <c r="E46" s="35">
        <f t="shared" si="2"/>
        <v>100</v>
      </c>
    </row>
    <row r="47" spans="1:5" ht="24" customHeight="1" thickBot="1" x14ac:dyDescent="0.4">
      <c r="A47" s="78" t="s">
        <v>80</v>
      </c>
      <c r="B47" s="37" t="s">
        <v>52</v>
      </c>
      <c r="C47" s="38">
        <v>64377.582999999999</v>
      </c>
      <c r="D47" s="60">
        <v>64377.582999999999</v>
      </c>
      <c r="E47" s="39">
        <f t="shared" si="2"/>
        <v>100</v>
      </c>
    </row>
    <row r="48" spans="1:5" ht="55.5" customHeight="1" thickBot="1" x14ac:dyDescent="0.35">
      <c r="A48" s="77" t="s">
        <v>82</v>
      </c>
      <c r="B48" s="40" t="s">
        <v>83</v>
      </c>
      <c r="C48" s="34">
        <f>C49</f>
        <v>581.09</v>
      </c>
      <c r="D48" s="33">
        <f>D49</f>
        <v>581.09</v>
      </c>
      <c r="E48" s="35">
        <f t="shared" si="2"/>
        <v>100</v>
      </c>
    </row>
    <row r="49" spans="1:5" ht="36" customHeight="1" thickBot="1" x14ac:dyDescent="0.4">
      <c r="A49" s="78" t="s">
        <v>67</v>
      </c>
      <c r="B49" s="54" t="s">
        <v>84</v>
      </c>
      <c r="C49" s="55">
        <v>581.09</v>
      </c>
      <c r="D49" s="86">
        <v>581.09</v>
      </c>
      <c r="E49" s="39">
        <f t="shared" si="2"/>
        <v>100</v>
      </c>
    </row>
    <row r="50" spans="1:5" ht="36" customHeight="1" thickBot="1" x14ac:dyDescent="0.35">
      <c r="A50" s="77" t="s">
        <v>85</v>
      </c>
      <c r="B50" s="40" t="s">
        <v>2</v>
      </c>
      <c r="C50" s="33">
        <f>C51</f>
        <v>-37140.559999999998</v>
      </c>
      <c r="D50" s="33">
        <f>D51</f>
        <v>-40461.915000000001</v>
      </c>
      <c r="E50" s="35">
        <f>D50/C50*100</f>
        <v>108.9426626846768</v>
      </c>
    </row>
    <row r="51" spans="1:5" ht="41.25" customHeight="1" thickBot="1" x14ac:dyDescent="0.4">
      <c r="A51" s="78" t="s">
        <v>86</v>
      </c>
      <c r="B51" s="54" t="s">
        <v>0</v>
      </c>
      <c r="C51" s="38">
        <v>-37140.559999999998</v>
      </c>
      <c r="D51" s="86">
        <v>-40461.915000000001</v>
      </c>
      <c r="E51" s="39">
        <f>D51/C51*100</f>
        <v>108.9426626846768</v>
      </c>
    </row>
    <row r="52" spans="1:5" ht="23.25" customHeight="1" thickBot="1" x14ac:dyDescent="0.35">
      <c r="A52" s="25"/>
      <c r="B52" s="18" t="s">
        <v>16</v>
      </c>
      <c r="C52" s="33">
        <f>SUM(C7,C40)</f>
        <v>12981044.374</v>
      </c>
      <c r="D52" s="33">
        <f>SUM(D7,D40)</f>
        <v>13094204.887000002</v>
      </c>
      <c r="E52" s="35">
        <f>D52/C52*100</f>
        <v>100.87173658559132</v>
      </c>
    </row>
    <row r="53" spans="1:5" x14ac:dyDescent="0.25">
      <c r="C53" s="10"/>
      <c r="D53" s="57"/>
    </row>
    <row r="54" spans="1:5" x14ac:dyDescent="0.25">
      <c r="C54" s="10"/>
      <c r="D54" s="57"/>
    </row>
    <row r="55" spans="1:5" x14ac:dyDescent="0.25">
      <c r="B55" s="7"/>
      <c r="C55" s="10"/>
      <c r="D55" s="57"/>
    </row>
    <row r="56" spans="1:5" x14ac:dyDescent="0.25">
      <c r="B56" s="7"/>
      <c r="C56" s="10"/>
      <c r="D56" s="57"/>
    </row>
    <row r="57" spans="1:5" x14ac:dyDescent="0.25">
      <c r="B57" s="7"/>
      <c r="C57" s="10"/>
      <c r="D57" s="57"/>
    </row>
    <row r="58" spans="1:5" x14ac:dyDescent="0.25">
      <c r="C58" s="10"/>
      <c r="D58" s="57"/>
    </row>
    <row r="59" spans="1:5" x14ac:dyDescent="0.25">
      <c r="C59" s="10"/>
      <c r="D59" s="57"/>
    </row>
    <row r="60" spans="1:5" x14ac:dyDescent="0.25">
      <c r="C60" s="10"/>
      <c r="D60" s="57"/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honeticPr fontId="3" type="noConversion"/>
  <printOptions horizontalCentered="1" verticalCentered="1"/>
  <pageMargins left="0.11811023622047245" right="0.11811023622047245" top="0.59055118110236227" bottom="0.19685039370078741" header="0.59055118110236227" footer="0.19685039370078741"/>
  <pageSetup paperSize="9" scale="60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sqref="A1:XFD1048576"/>
    </sheetView>
  </sheetViews>
  <sheetFormatPr defaultColWidth="9.109375" defaultRowHeight="15.6" x14ac:dyDescent="0.3"/>
  <cols>
    <col min="1" max="1" width="84" style="193" customWidth="1"/>
    <col min="2" max="2" width="8.109375" style="193" customWidth="1"/>
    <col min="3" max="3" width="9.5546875" style="193" customWidth="1"/>
    <col min="4" max="4" width="14.5546875" style="193" customWidth="1"/>
    <col min="5" max="5" width="15" style="193" customWidth="1"/>
    <col min="6" max="6" width="12.44140625" style="197" customWidth="1"/>
    <col min="7" max="8" width="13.6640625" style="197" hidden="1" customWidth="1"/>
    <col min="9" max="9" width="12" style="197" hidden="1" customWidth="1"/>
    <col min="10" max="10" width="16.6640625" style="197" customWidth="1"/>
    <col min="11" max="11" width="17.5546875" style="197" customWidth="1"/>
    <col min="12" max="12" width="13.5546875" style="197" customWidth="1"/>
    <col min="13" max="13" width="10.33203125" style="197" customWidth="1"/>
    <col min="14" max="14" width="10.109375" style="197" customWidth="1"/>
    <col min="15" max="15" width="10.5546875" style="197" customWidth="1"/>
    <col min="16" max="16" width="9.88671875" style="197" hidden="1" customWidth="1"/>
    <col min="17" max="17" width="9" style="197" hidden="1" customWidth="1"/>
    <col min="18" max="18" width="10.6640625" style="197" hidden="1" customWidth="1"/>
    <col min="19" max="256" width="9.109375" style="99"/>
    <col min="257" max="257" width="84" style="99" customWidth="1"/>
    <col min="258" max="258" width="8.109375" style="99" customWidth="1"/>
    <col min="259" max="259" width="9.5546875" style="99" customWidth="1"/>
    <col min="260" max="260" width="14.5546875" style="99" customWidth="1"/>
    <col min="261" max="261" width="15" style="99" customWidth="1"/>
    <col min="262" max="262" width="12.44140625" style="99" customWidth="1"/>
    <col min="263" max="265" width="0" style="99" hidden="1" customWidth="1"/>
    <col min="266" max="266" width="16.6640625" style="99" customWidth="1"/>
    <col min="267" max="267" width="17.5546875" style="99" customWidth="1"/>
    <col min="268" max="268" width="13.5546875" style="99" customWidth="1"/>
    <col min="269" max="269" width="10.33203125" style="99" customWidth="1"/>
    <col min="270" max="270" width="10.109375" style="99" customWidth="1"/>
    <col min="271" max="271" width="10.5546875" style="99" customWidth="1"/>
    <col min="272" max="274" width="0" style="99" hidden="1" customWidth="1"/>
    <col min="275" max="512" width="9.109375" style="99"/>
    <col min="513" max="513" width="84" style="99" customWidth="1"/>
    <col min="514" max="514" width="8.109375" style="99" customWidth="1"/>
    <col min="515" max="515" width="9.5546875" style="99" customWidth="1"/>
    <col min="516" max="516" width="14.5546875" style="99" customWidth="1"/>
    <col min="517" max="517" width="15" style="99" customWidth="1"/>
    <col min="518" max="518" width="12.44140625" style="99" customWidth="1"/>
    <col min="519" max="521" width="0" style="99" hidden="1" customWidth="1"/>
    <col min="522" max="522" width="16.6640625" style="99" customWidth="1"/>
    <col min="523" max="523" width="17.5546875" style="99" customWidth="1"/>
    <col min="524" max="524" width="13.5546875" style="99" customWidth="1"/>
    <col min="525" max="525" width="10.33203125" style="99" customWidth="1"/>
    <col min="526" max="526" width="10.109375" style="99" customWidth="1"/>
    <col min="527" max="527" width="10.5546875" style="99" customWidth="1"/>
    <col min="528" max="530" width="0" style="99" hidden="1" customWidth="1"/>
    <col min="531" max="768" width="9.109375" style="99"/>
    <col min="769" max="769" width="84" style="99" customWidth="1"/>
    <col min="770" max="770" width="8.109375" style="99" customWidth="1"/>
    <col min="771" max="771" width="9.5546875" style="99" customWidth="1"/>
    <col min="772" max="772" width="14.5546875" style="99" customWidth="1"/>
    <col min="773" max="773" width="15" style="99" customWidth="1"/>
    <col min="774" max="774" width="12.44140625" style="99" customWidth="1"/>
    <col min="775" max="777" width="0" style="99" hidden="1" customWidth="1"/>
    <col min="778" max="778" width="16.6640625" style="99" customWidth="1"/>
    <col min="779" max="779" width="17.5546875" style="99" customWidth="1"/>
    <col min="780" max="780" width="13.5546875" style="99" customWidth="1"/>
    <col min="781" max="781" width="10.33203125" style="99" customWidth="1"/>
    <col min="782" max="782" width="10.109375" style="99" customWidth="1"/>
    <col min="783" max="783" width="10.5546875" style="99" customWidth="1"/>
    <col min="784" max="786" width="0" style="99" hidden="1" customWidth="1"/>
    <col min="787" max="1024" width="9.109375" style="99"/>
    <col min="1025" max="1025" width="84" style="99" customWidth="1"/>
    <col min="1026" max="1026" width="8.109375" style="99" customWidth="1"/>
    <col min="1027" max="1027" width="9.5546875" style="99" customWidth="1"/>
    <col min="1028" max="1028" width="14.5546875" style="99" customWidth="1"/>
    <col min="1029" max="1029" width="15" style="99" customWidth="1"/>
    <col min="1030" max="1030" width="12.44140625" style="99" customWidth="1"/>
    <col min="1031" max="1033" width="0" style="99" hidden="1" customWidth="1"/>
    <col min="1034" max="1034" width="16.6640625" style="99" customWidth="1"/>
    <col min="1035" max="1035" width="17.5546875" style="99" customWidth="1"/>
    <col min="1036" max="1036" width="13.5546875" style="99" customWidth="1"/>
    <col min="1037" max="1037" width="10.33203125" style="99" customWidth="1"/>
    <col min="1038" max="1038" width="10.109375" style="99" customWidth="1"/>
    <col min="1039" max="1039" width="10.5546875" style="99" customWidth="1"/>
    <col min="1040" max="1042" width="0" style="99" hidden="1" customWidth="1"/>
    <col min="1043" max="1280" width="9.109375" style="99"/>
    <col min="1281" max="1281" width="84" style="99" customWidth="1"/>
    <col min="1282" max="1282" width="8.109375" style="99" customWidth="1"/>
    <col min="1283" max="1283" width="9.5546875" style="99" customWidth="1"/>
    <col min="1284" max="1284" width="14.5546875" style="99" customWidth="1"/>
    <col min="1285" max="1285" width="15" style="99" customWidth="1"/>
    <col min="1286" max="1286" width="12.44140625" style="99" customWidth="1"/>
    <col min="1287" max="1289" width="0" style="99" hidden="1" customWidth="1"/>
    <col min="1290" max="1290" width="16.6640625" style="99" customWidth="1"/>
    <col min="1291" max="1291" width="17.5546875" style="99" customWidth="1"/>
    <col min="1292" max="1292" width="13.5546875" style="99" customWidth="1"/>
    <col min="1293" max="1293" width="10.33203125" style="99" customWidth="1"/>
    <col min="1294" max="1294" width="10.109375" style="99" customWidth="1"/>
    <col min="1295" max="1295" width="10.5546875" style="99" customWidth="1"/>
    <col min="1296" max="1298" width="0" style="99" hidden="1" customWidth="1"/>
    <col min="1299" max="1536" width="9.109375" style="99"/>
    <col min="1537" max="1537" width="84" style="99" customWidth="1"/>
    <col min="1538" max="1538" width="8.109375" style="99" customWidth="1"/>
    <col min="1539" max="1539" width="9.5546875" style="99" customWidth="1"/>
    <col min="1540" max="1540" width="14.5546875" style="99" customWidth="1"/>
    <col min="1541" max="1541" width="15" style="99" customWidth="1"/>
    <col min="1542" max="1542" width="12.44140625" style="99" customWidth="1"/>
    <col min="1543" max="1545" width="0" style="99" hidden="1" customWidth="1"/>
    <col min="1546" max="1546" width="16.6640625" style="99" customWidth="1"/>
    <col min="1547" max="1547" width="17.5546875" style="99" customWidth="1"/>
    <col min="1548" max="1548" width="13.5546875" style="99" customWidth="1"/>
    <col min="1549" max="1549" width="10.33203125" style="99" customWidth="1"/>
    <col min="1550" max="1550" width="10.109375" style="99" customWidth="1"/>
    <col min="1551" max="1551" width="10.5546875" style="99" customWidth="1"/>
    <col min="1552" max="1554" width="0" style="99" hidden="1" customWidth="1"/>
    <col min="1555" max="1792" width="9.109375" style="99"/>
    <col min="1793" max="1793" width="84" style="99" customWidth="1"/>
    <col min="1794" max="1794" width="8.109375" style="99" customWidth="1"/>
    <col min="1795" max="1795" width="9.5546875" style="99" customWidth="1"/>
    <col min="1796" max="1796" width="14.5546875" style="99" customWidth="1"/>
    <col min="1797" max="1797" width="15" style="99" customWidth="1"/>
    <col min="1798" max="1798" width="12.44140625" style="99" customWidth="1"/>
    <col min="1799" max="1801" width="0" style="99" hidden="1" customWidth="1"/>
    <col min="1802" max="1802" width="16.6640625" style="99" customWidth="1"/>
    <col min="1803" max="1803" width="17.5546875" style="99" customWidth="1"/>
    <col min="1804" max="1804" width="13.5546875" style="99" customWidth="1"/>
    <col min="1805" max="1805" width="10.33203125" style="99" customWidth="1"/>
    <col min="1806" max="1806" width="10.109375" style="99" customWidth="1"/>
    <col min="1807" max="1807" width="10.5546875" style="99" customWidth="1"/>
    <col min="1808" max="1810" width="0" style="99" hidden="1" customWidth="1"/>
    <col min="1811" max="2048" width="9.109375" style="99"/>
    <col min="2049" max="2049" width="84" style="99" customWidth="1"/>
    <col min="2050" max="2050" width="8.109375" style="99" customWidth="1"/>
    <col min="2051" max="2051" width="9.5546875" style="99" customWidth="1"/>
    <col min="2052" max="2052" width="14.5546875" style="99" customWidth="1"/>
    <col min="2053" max="2053" width="15" style="99" customWidth="1"/>
    <col min="2054" max="2054" width="12.44140625" style="99" customWidth="1"/>
    <col min="2055" max="2057" width="0" style="99" hidden="1" customWidth="1"/>
    <col min="2058" max="2058" width="16.6640625" style="99" customWidth="1"/>
    <col min="2059" max="2059" width="17.5546875" style="99" customWidth="1"/>
    <col min="2060" max="2060" width="13.5546875" style="99" customWidth="1"/>
    <col min="2061" max="2061" width="10.33203125" style="99" customWidth="1"/>
    <col min="2062" max="2062" width="10.109375" style="99" customWidth="1"/>
    <col min="2063" max="2063" width="10.5546875" style="99" customWidth="1"/>
    <col min="2064" max="2066" width="0" style="99" hidden="1" customWidth="1"/>
    <col min="2067" max="2304" width="9.109375" style="99"/>
    <col min="2305" max="2305" width="84" style="99" customWidth="1"/>
    <col min="2306" max="2306" width="8.109375" style="99" customWidth="1"/>
    <col min="2307" max="2307" width="9.5546875" style="99" customWidth="1"/>
    <col min="2308" max="2308" width="14.5546875" style="99" customWidth="1"/>
    <col min="2309" max="2309" width="15" style="99" customWidth="1"/>
    <col min="2310" max="2310" width="12.44140625" style="99" customWidth="1"/>
    <col min="2311" max="2313" width="0" style="99" hidden="1" customWidth="1"/>
    <col min="2314" max="2314" width="16.6640625" style="99" customWidth="1"/>
    <col min="2315" max="2315" width="17.5546875" style="99" customWidth="1"/>
    <col min="2316" max="2316" width="13.5546875" style="99" customWidth="1"/>
    <col min="2317" max="2317" width="10.33203125" style="99" customWidth="1"/>
    <col min="2318" max="2318" width="10.109375" style="99" customWidth="1"/>
    <col min="2319" max="2319" width="10.5546875" style="99" customWidth="1"/>
    <col min="2320" max="2322" width="0" style="99" hidden="1" customWidth="1"/>
    <col min="2323" max="2560" width="9.109375" style="99"/>
    <col min="2561" max="2561" width="84" style="99" customWidth="1"/>
    <col min="2562" max="2562" width="8.109375" style="99" customWidth="1"/>
    <col min="2563" max="2563" width="9.5546875" style="99" customWidth="1"/>
    <col min="2564" max="2564" width="14.5546875" style="99" customWidth="1"/>
    <col min="2565" max="2565" width="15" style="99" customWidth="1"/>
    <col min="2566" max="2566" width="12.44140625" style="99" customWidth="1"/>
    <col min="2567" max="2569" width="0" style="99" hidden="1" customWidth="1"/>
    <col min="2570" max="2570" width="16.6640625" style="99" customWidth="1"/>
    <col min="2571" max="2571" width="17.5546875" style="99" customWidth="1"/>
    <col min="2572" max="2572" width="13.5546875" style="99" customWidth="1"/>
    <col min="2573" max="2573" width="10.33203125" style="99" customWidth="1"/>
    <col min="2574" max="2574" width="10.109375" style="99" customWidth="1"/>
    <col min="2575" max="2575" width="10.5546875" style="99" customWidth="1"/>
    <col min="2576" max="2578" width="0" style="99" hidden="1" customWidth="1"/>
    <col min="2579" max="2816" width="9.109375" style="99"/>
    <col min="2817" max="2817" width="84" style="99" customWidth="1"/>
    <col min="2818" max="2818" width="8.109375" style="99" customWidth="1"/>
    <col min="2819" max="2819" width="9.5546875" style="99" customWidth="1"/>
    <col min="2820" max="2820" width="14.5546875" style="99" customWidth="1"/>
    <col min="2821" max="2821" width="15" style="99" customWidth="1"/>
    <col min="2822" max="2822" width="12.44140625" style="99" customWidth="1"/>
    <col min="2823" max="2825" width="0" style="99" hidden="1" customWidth="1"/>
    <col min="2826" max="2826" width="16.6640625" style="99" customWidth="1"/>
    <col min="2827" max="2827" width="17.5546875" style="99" customWidth="1"/>
    <col min="2828" max="2828" width="13.5546875" style="99" customWidth="1"/>
    <col min="2829" max="2829" width="10.33203125" style="99" customWidth="1"/>
    <col min="2830" max="2830" width="10.109375" style="99" customWidth="1"/>
    <col min="2831" max="2831" width="10.5546875" style="99" customWidth="1"/>
    <col min="2832" max="2834" width="0" style="99" hidden="1" customWidth="1"/>
    <col min="2835" max="3072" width="9.109375" style="99"/>
    <col min="3073" max="3073" width="84" style="99" customWidth="1"/>
    <col min="3074" max="3074" width="8.109375" style="99" customWidth="1"/>
    <col min="3075" max="3075" width="9.5546875" style="99" customWidth="1"/>
    <col min="3076" max="3076" width="14.5546875" style="99" customWidth="1"/>
    <col min="3077" max="3077" width="15" style="99" customWidth="1"/>
    <col min="3078" max="3078" width="12.44140625" style="99" customWidth="1"/>
    <col min="3079" max="3081" width="0" style="99" hidden="1" customWidth="1"/>
    <col min="3082" max="3082" width="16.6640625" style="99" customWidth="1"/>
    <col min="3083" max="3083" width="17.5546875" style="99" customWidth="1"/>
    <col min="3084" max="3084" width="13.5546875" style="99" customWidth="1"/>
    <col min="3085" max="3085" width="10.33203125" style="99" customWidth="1"/>
    <col min="3086" max="3086" width="10.109375" style="99" customWidth="1"/>
    <col min="3087" max="3087" width="10.5546875" style="99" customWidth="1"/>
    <col min="3088" max="3090" width="0" style="99" hidden="1" customWidth="1"/>
    <col min="3091" max="3328" width="9.109375" style="99"/>
    <col min="3329" max="3329" width="84" style="99" customWidth="1"/>
    <col min="3330" max="3330" width="8.109375" style="99" customWidth="1"/>
    <col min="3331" max="3331" width="9.5546875" style="99" customWidth="1"/>
    <col min="3332" max="3332" width="14.5546875" style="99" customWidth="1"/>
    <col min="3333" max="3333" width="15" style="99" customWidth="1"/>
    <col min="3334" max="3334" width="12.44140625" style="99" customWidth="1"/>
    <col min="3335" max="3337" width="0" style="99" hidden="1" customWidth="1"/>
    <col min="3338" max="3338" width="16.6640625" style="99" customWidth="1"/>
    <col min="3339" max="3339" width="17.5546875" style="99" customWidth="1"/>
    <col min="3340" max="3340" width="13.5546875" style="99" customWidth="1"/>
    <col min="3341" max="3341" width="10.33203125" style="99" customWidth="1"/>
    <col min="3342" max="3342" width="10.109375" style="99" customWidth="1"/>
    <col min="3343" max="3343" width="10.5546875" style="99" customWidth="1"/>
    <col min="3344" max="3346" width="0" style="99" hidden="1" customWidth="1"/>
    <col min="3347" max="3584" width="9.109375" style="99"/>
    <col min="3585" max="3585" width="84" style="99" customWidth="1"/>
    <col min="3586" max="3586" width="8.109375" style="99" customWidth="1"/>
    <col min="3587" max="3587" width="9.5546875" style="99" customWidth="1"/>
    <col min="3588" max="3588" width="14.5546875" style="99" customWidth="1"/>
    <col min="3589" max="3589" width="15" style="99" customWidth="1"/>
    <col min="3590" max="3590" width="12.44140625" style="99" customWidth="1"/>
    <col min="3591" max="3593" width="0" style="99" hidden="1" customWidth="1"/>
    <col min="3594" max="3594" width="16.6640625" style="99" customWidth="1"/>
    <col min="3595" max="3595" width="17.5546875" style="99" customWidth="1"/>
    <col min="3596" max="3596" width="13.5546875" style="99" customWidth="1"/>
    <col min="3597" max="3597" width="10.33203125" style="99" customWidth="1"/>
    <col min="3598" max="3598" width="10.109375" style="99" customWidth="1"/>
    <col min="3599" max="3599" width="10.5546875" style="99" customWidth="1"/>
    <col min="3600" max="3602" width="0" style="99" hidden="1" customWidth="1"/>
    <col min="3603" max="3840" width="9.109375" style="99"/>
    <col min="3841" max="3841" width="84" style="99" customWidth="1"/>
    <col min="3842" max="3842" width="8.109375" style="99" customWidth="1"/>
    <col min="3843" max="3843" width="9.5546875" style="99" customWidth="1"/>
    <col min="3844" max="3844" width="14.5546875" style="99" customWidth="1"/>
    <col min="3845" max="3845" width="15" style="99" customWidth="1"/>
    <col min="3846" max="3846" width="12.44140625" style="99" customWidth="1"/>
    <col min="3847" max="3849" width="0" style="99" hidden="1" customWidth="1"/>
    <col min="3850" max="3850" width="16.6640625" style="99" customWidth="1"/>
    <col min="3851" max="3851" width="17.5546875" style="99" customWidth="1"/>
    <col min="3852" max="3852" width="13.5546875" style="99" customWidth="1"/>
    <col min="3853" max="3853" width="10.33203125" style="99" customWidth="1"/>
    <col min="3854" max="3854" width="10.109375" style="99" customWidth="1"/>
    <col min="3855" max="3855" width="10.5546875" style="99" customWidth="1"/>
    <col min="3856" max="3858" width="0" style="99" hidden="1" customWidth="1"/>
    <col min="3859" max="4096" width="9.109375" style="99"/>
    <col min="4097" max="4097" width="84" style="99" customWidth="1"/>
    <col min="4098" max="4098" width="8.109375" style="99" customWidth="1"/>
    <col min="4099" max="4099" width="9.5546875" style="99" customWidth="1"/>
    <col min="4100" max="4100" width="14.5546875" style="99" customWidth="1"/>
    <col min="4101" max="4101" width="15" style="99" customWidth="1"/>
    <col min="4102" max="4102" width="12.44140625" style="99" customWidth="1"/>
    <col min="4103" max="4105" width="0" style="99" hidden="1" customWidth="1"/>
    <col min="4106" max="4106" width="16.6640625" style="99" customWidth="1"/>
    <col min="4107" max="4107" width="17.5546875" style="99" customWidth="1"/>
    <col min="4108" max="4108" width="13.5546875" style="99" customWidth="1"/>
    <col min="4109" max="4109" width="10.33203125" style="99" customWidth="1"/>
    <col min="4110" max="4110" width="10.109375" style="99" customWidth="1"/>
    <col min="4111" max="4111" width="10.5546875" style="99" customWidth="1"/>
    <col min="4112" max="4114" width="0" style="99" hidden="1" customWidth="1"/>
    <col min="4115" max="4352" width="9.109375" style="99"/>
    <col min="4353" max="4353" width="84" style="99" customWidth="1"/>
    <col min="4354" max="4354" width="8.109375" style="99" customWidth="1"/>
    <col min="4355" max="4355" width="9.5546875" style="99" customWidth="1"/>
    <col min="4356" max="4356" width="14.5546875" style="99" customWidth="1"/>
    <col min="4357" max="4357" width="15" style="99" customWidth="1"/>
    <col min="4358" max="4358" width="12.44140625" style="99" customWidth="1"/>
    <col min="4359" max="4361" width="0" style="99" hidden="1" customWidth="1"/>
    <col min="4362" max="4362" width="16.6640625" style="99" customWidth="1"/>
    <col min="4363" max="4363" width="17.5546875" style="99" customWidth="1"/>
    <col min="4364" max="4364" width="13.5546875" style="99" customWidth="1"/>
    <col min="4365" max="4365" width="10.33203125" style="99" customWidth="1"/>
    <col min="4366" max="4366" width="10.109375" style="99" customWidth="1"/>
    <col min="4367" max="4367" width="10.5546875" style="99" customWidth="1"/>
    <col min="4368" max="4370" width="0" style="99" hidden="1" customWidth="1"/>
    <col min="4371" max="4608" width="9.109375" style="99"/>
    <col min="4609" max="4609" width="84" style="99" customWidth="1"/>
    <col min="4610" max="4610" width="8.109375" style="99" customWidth="1"/>
    <col min="4611" max="4611" width="9.5546875" style="99" customWidth="1"/>
    <col min="4612" max="4612" width="14.5546875" style="99" customWidth="1"/>
    <col min="4613" max="4613" width="15" style="99" customWidth="1"/>
    <col min="4614" max="4614" width="12.44140625" style="99" customWidth="1"/>
    <col min="4615" max="4617" width="0" style="99" hidden="1" customWidth="1"/>
    <col min="4618" max="4618" width="16.6640625" style="99" customWidth="1"/>
    <col min="4619" max="4619" width="17.5546875" style="99" customWidth="1"/>
    <col min="4620" max="4620" width="13.5546875" style="99" customWidth="1"/>
    <col min="4621" max="4621" width="10.33203125" style="99" customWidth="1"/>
    <col min="4622" max="4622" width="10.109375" style="99" customWidth="1"/>
    <col min="4623" max="4623" width="10.5546875" style="99" customWidth="1"/>
    <col min="4624" max="4626" width="0" style="99" hidden="1" customWidth="1"/>
    <col min="4627" max="4864" width="9.109375" style="99"/>
    <col min="4865" max="4865" width="84" style="99" customWidth="1"/>
    <col min="4866" max="4866" width="8.109375" style="99" customWidth="1"/>
    <col min="4867" max="4867" width="9.5546875" style="99" customWidth="1"/>
    <col min="4868" max="4868" width="14.5546875" style="99" customWidth="1"/>
    <col min="4869" max="4869" width="15" style="99" customWidth="1"/>
    <col min="4870" max="4870" width="12.44140625" style="99" customWidth="1"/>
    <col min="4871" max="4873" width="0" style="99" hidden="1" customWidth="1"/>
    <col min="4874" max="4874" width="16.6640625" style="99" customWidth="1"/>
    <col min="4875" max="4875" width="17.5546875" style="99" customWidth="1"/>
    <col min="4876" max="4876" width="13.5546875" style="99" customWidth="1"/>
    <col min="4877" max="4877" width="10.33203125" style="99" customWidth="1"/>
    <col min="4878" max="4878" width="10.109375" style="99" customWidth="1"/>
    <col min="4879" max="4879" width="10.5546875" style="99" customWidth="1"/>
    <col min="4880" max="4882" width="0" style="99" hidden="1" customWidth="1"/>
    <col min="4883" max="5120" width="9.109375" style="99"/>
    <col min="5121" max="5121" width="84" style="99" customWidth="1"/>
    <col min="5122" max="5122" width="8.109375" style="99" customWidth="1"/>
    <col min="5123" max="5123" width="9.5546875" style="99" customWidth="1"/>
    <col min="5124" max="5124" width="14.5546875" style="99" customWidth="1"/>
    <col min="5125" max="5125" width="15" style="99" customWidth="1"/>
    <col min="5126" max="5126" width="12.44140625" style="99" customWidth="1"/>
    <col min="5127" max="5129" width="0" style="99" hidden="1" customWidth="1"/>
    <col min="5130" max="5130" width="16.6640625" style="99" customWidth="1"/>
    <col min="5131" max="5131" width="17.5546875" style="99" customWidth="1"/>
    <col min="5132" max="5132" width="13.5546875" style="99" customWidth="1"/>
    <col min="5133" max="5133" width="10.33203125" style="99" customWidth="1"/>
    <col min="5134" max="5134" width="10.109375" style="99" customWidth="1"/>
    <col min="5135" max="5135" width="10.5546875" style="99" customWidth="1"/>
    <col min="5136" max="5138" width="0" style="99" hidden="1" customWidth="1"/>
    <col min="5139" max="5376" width="9.109375" style="99"/>
    <col min="5377" max="5377" width="84" style="99" customWidth="1"/>
    <col min="5378" max="5378" width="8.109375" style="99" customWidth="1"/>
    <col min="5379" max="5379" width="9.5546875" style="99" customWidth="1"/>
    <col min="5380" max="5380" width="14.5546875" style="99" customWidth="1"/>
    <col min="5381" max="5381" width="15" style="99" customWidth="1"/>
    <col min="5382" max="5382" width="12.44140625" style="99" customWidth="1"/>
    <col min="5383" max="5385" width="0" style="99" hidden="1" customWidth="1"/>
    <col min="5386" max="5386" width="16.6640625" style="99" customWidth="1"/>
    <col min="5387" max="5387" width="17.5546875" style="99" customWidth="1"/>
    <col min="5388" max="5388" width="13.5546875" style="99" customWidth="1"/>
    <col min="5389" max="5389" width="10.33203125" style="99" customWidth="1"/>
    <col min="5390" max="5390" width="10.109375" style="99" customWidth="1"/>
    <col min="5391" max="5391" width="10.5546875" style="99" customWidth="1"/>
    <col min="5392" max="5394" width="0" style="99" hidden="1" customWidth="1"/>
    <col min="5395" max="5632" width="9.109375" style="99"/>
    <col min="5633" max="5633" width="84" style="99" customWidth="1"/>
    <col min="5634" max="5634" width="8.109375" style="99" customWidth="1"/>
    <col min="5635" max="5635" width="9.5546875" style="99" customWidth="1"/>
    <col min="5636" max="5636" width="14.5546875" style="99" customWidth="1"/>
    <col min="5637" max="5637" width="15" style="99" customWidth="1"/>
    <col min="5638" max="5638" width="12.44140625" style="99" customWidth="1"/>
    <col min="5639" max="5641" width="0" style="99" hidden="1" customWidth="1"/>
    <col min="5642" max="5642" width="16.6640625" style="99" customWidth="1"/>
    <col min="5643" max="5643" width="17.5546875" style="99" customWidth="1"/>
    <col min="5644" max="5644" width="13.5546875" style="99" customWidth="1"/>
    <col min="5645" max="5645" width="10.33203125" style="99" customWidth="1"/>
    <col min="5646" max="5646" width="10.109375" style="99" customWidth="1"/>
    <col min="5647" max="5647" width="10.5546875" style="99" customWidth="1"/>
    <col min="5648" max="5650" width="0" style="99" hidden="1" customWidth="1"/>
    <col min="5651" max="5888" width="9.109375" style="99"/>
    <col min="5889" max="5889" width="84" style="99" customWidth="1"/>
    <col min="5890" max="5890" width="8.109375" style="99" customWidth="1"/>
    <col min="5891" max="5891" width="9.5546875" style="99" customWidth="1"/>
    <col min="5892" max="5892" width="14.5546875" style="99" customWidth="1"/>
    <col min="5893" max="5893" width="15" style="99" customWidth="1"/>
    <col min="5894" max="5894" width="12.44140625" style="99" customWidth="1"/>
    <col min="5895" max="5897" width="0" style="99" hidden="1" customWidth="1"/>
    <col min="5898" max="5898" width="16.6640625" style="99" customWidth="1"/>
    <col min="5899" max="5899" width="17.5546875" style="99" customWidth="1"/>
    <col min="5900" max="5900" width="13.5546875" style="99" customWidth="1"/>
    <col min="5901" max="5901" width="10.33203125" style="99" customWidth="1"/>
    <col min="5902" max="5902" width="10.109375" style="99" customWidth="1"/>
    <col min="5903" max="5903" width="10.5546875" style="99" customWidth="1"/>
    <col min="5904" max="5906" width="0" style="99" hidden="1" customWidth="1"/>
    <col min="5907" max="6144" width="9.109375" style="99"/>
    <col min="6145" max="6145" width="84" style="99" customWidth="1"/>
    <col min="6146" max="6146" width="8.109375" style="99" customWidth="1"/>
    <col min="6147" max="6147" width="9.5546875" style="99" customWidth="1"/>
    <col min="6148" max="6148" width="14.5546875" style="99" customWidth="1"/>
    <col min="6149" max="6149" width="15" style="99" customWidth="1"/>
    <col min="6150" max="6150" width="12.44140625" style="99" customWidth="1"/>
    <col min="6151" max="6153" width="0" style="99" hidden="1" customWidth="1"/>
    <col min="6154" max="6154" width="16.6640625" style="99" customWidth="1"/>
    <col min="6155" max="6155" width="17.5546875" style="99" customWidth="1"/>
    <col min="6156" max="6156" width="13.5546875" style="99" customWidth="1"/>
    <col min="6157" max="6157" width="10.33203125" style="99" customWidth="1"/>
    <col min="6158" max="6158" width="10.109375" style="99" customWidth="1"/>
    <col min="6159" max="6159" width="10.5546875" style="99" customWidth="1"/>
    <col min="6160" max="6162" width="0" style="99" hidden="1" customWidth="1"/>
    <col min="6163" max="6400" width="9.109375" style="99"/>
    <col min="6401" max="6401" width="84" style="99" customWidth="1"/>
    <col min="6402" max="6402" width="8.109375" style="99" customWidth="1"/>
    <col min="6403" max="6403" width="9.5546875" style="99" customWidth="1"/>
    <col min="6404" max="6404" width="14.5546875" style="99" customWidth="1"/>
    <col min="6405" max="6405" width="15" style="99" customWidth="1"/>
    <col min="6406" max="6406" width="12.44140625" style="99" customWidth="1"/>
    <col min="6407" max="6409" width="0" style="99" hidden="1" customWidth="1"/>
    <col min="6410" max="6410" width="16.6640625" style="99" customWidth="1"/>
    <col min="6411" max="6411" width="17.5546875" style="99" customWidth="1"/>
    <col min="6412" max="6412" width="13.5546875" style="99" customWidth="1"/>
    <col min="6413" max="6413" width="10.33203125" style="99" customWidth="1"/>
    <col min="6414" max="6414" width="10.109375" style="99" customWidth="1"/>
    <col min="6415" max="6415" width="10.5546875" style="99" customWidth="1"/>
    <col min="6416" max="6418" width="0" style="99" hidden="1" customWidth="1"/>
    <col min="6419" max="6656" width="9.109375" style="99"/>
    <col min="6657" max="6657" width="84" style="99" customWidth="1"/>
    <col min="6658" max="6658" width="8.109375" style="99" customWidth="1"/>
    <col min="6659" max="6659" width="9.5546875" style="99" customWidth="1"/>
    <col min="6660" max="6660" width="14.5546875" style="99" customWidth="1"/>
    <col min="6661" max="6661" width="15" style="99" customWidth="1"/>
    <col min="6662" max="6662" width="12.44140625" style="99" customWidth="1"/>
    <col min="6663" max="6665" width="0" style="99" hidden="1" customWidth="1"/>
    <col min="6666" max="6666" width="16.6640625" style="99" customWidth="1"/>
    <col min="6667" max="6667" width="17.5546875" style="99" customWidth="1"/>
    <col min="6668" max="6668" width="13.5546875" style="99" customWidth="1"/>
    <col min="6669" max="6669" width="10.33203125" style="99" customWidth="1"/>
    <col min="6670" max="6670" width="10.109375" style="99" customWidth="1"/>
    <col min="6671" max="6671" width="10.5546875" style="99" customWidth="1"/>
    <col min="6672" max="6674" width="0" style="99" hidden="1" customWidth="1"/>
    <col min="6675" max="6912" width="9.109375" style="99"/>
    <col min="6913" max="6913" width="84" style="99" customWidth="1"/>
    <col min="6914" max="6914" width="8.109375" style="99" customWidth="1"/>
    <col min="6915" max="6915" width="9.5546875" style="99" customWidth="1"/>
    <col min="6916" max="6916" width="14.5546875" style="99" customWidth="1"/>
    <col min="6917" max="6917" width="15" style="99" customWidth="1"/>
    <col min="6918" max="6918" width="12.44140625" style="99" customWidth="1"/>
    <col min="6919" max="6921" width="0" style="99" hidden="1" customWidth="1"/>
    <col min="6922" max="6922" width="16.6640625" style="99" customWidth="1"/>
    <col min="6923" max="6923" width="17.5546875" style="99" customWidth="1"/>
    <col min="6924" max="6924" width="13.5546875" style="99" customWidth="1"/>
    <col min="6925" max="6925" width="10.33203125" style="99" customWidth="1"/>
    <col min="6926" max="6926" width="10.109375" style="99" customWidth="1"/>
    <col min="6927" max="6927" width="10.5546875" style="99" customWidth="1"/>
    <col min="6928" max="6930" width="0" style="99" hidden="1" customWidth="1"/>
    <col min="6931" max="7168" width="9.109375" style="99"/>
    <col min="7169" max="7169" width="84" style="99" customWidth="1"/>
    <col min="7170" max="7170" width="8.109375" style="99" customWidth="1"/>
    <col min="7171" max="7171" width="9.5546875" style="99" customWidth="1"/>
    <col min="7172" max="7172" width="14.5546875" style="99" customWidth="1"/>
    <col min="7173" max="7173" width="15" style="99" customWidth="1"/>
    <col min="7174" max="7174" width="12.44140625" style="99" customWidth="1"/>
    <col min="7175" max="7177" width="0" style="99" hidden="1" customWidth="1"/>
    <col min="7178" max="7178" width="16.6640625" style="99" customWidth="1"/>
    <col min="7179" max="7179" width="17.5546875" style="99" customWidth="1"/>
    <col min="7180" max="7180" width="13.5546875" style="99" customWidth="1"/>
    <col min="7181" max="7181" width="10.33203125" style="99" customWidth="1"/>
    <col min="7182" max="7182" width="10.109375" style="99" customWidth="1"/>
    <col min="7183" max="7183" width="10.5546875" style="99" customWidth="1"/>
    <col min="7184" max="7186" width="0" style="99" hidden="1" customWidth="1"/>
    <col min="7187" max="7424" width="9.109375" style="99"/>
    <col min="7425" max="7425" width="84" style="99" customWidth="1"/>
    <col min="7426" max="7426" width="8.109375" style="99" customWidth="1"/>
    <col min="7427" max="7427" width="9.5546875" style="99" customWidth="1"/>
    <col min="7428" max="7428" width="14.5546875" style="99" customWidth="1"/>
    <col min="7429" max="7429" width="15" style="99" customWidth="1"/>
    <col min="7430" max="7430" width="12.44140625" style="99" customWidth="1"/>
    <col min="7431" max="7433" width="0" style="99" hidden="1" customWidth="1"/>
    <col min="7434" max="7434" width="16.6640625" style="99" customWidth="1"/>
    <col min="7435" max="7435" width="17.5546875" style="99" customWidth="1"/>
    <col min="7436" max="7436" width="13.5546875" style="99" customWidth="1"/>
    <col min="7437" max="7437" width="10.33203125" style="99" customWidth="1"/>
    <col min="7438" max="7438" width="10.109375" style="99" customWidth="1"/>
    <col min="7439" max="7439" width="10.5546875" style="99" customWidth="1"/>
    <col min="7440" max="7442" width="0" style="99" hidden="1" customWidth="1"/>
    <col min="7443" max="7680" width="9.109375" style="99"/>
    <col min="7681" max="7681" width="84" style="99" customWidth="1"/>
    <col min="7682" max="7682" width="8.109375" style="99" customWidth="1"/>
    <col min="7683" max="7683" width="9.5546875" style="99" customWidth="1"/>
    <col min="7684" max="7684" width="14.5546875" style="99" customWidth="1"/>
    <col min="7685" max="7685" width="15" style="99" customWidth="1"/>
    <col min="7686" max="7686" width="12.44140625" style="99" customWidth="1"/>
    <col min="7687" max="7689" width="0" style="99" hidden="1" customWidth="1"/>
    <col min="7690" max="7690" width="16.6640625" style="99" customWidth="1"/>
    <col min="7691" max="7691" width="17.5546875" style="99" customWidth="1"/>
    <col min="7692" max="7692" width="13.5546875" style="99" customWidth="1"/>
    <col min="7693" max="7693" width="10.33203125" style="99" customWidth="1"/>
    <col min="7694" max="7694" width="10.109375" style="99" customWidth="1"/>
    <col min="7695" max="7695" width="10.5546875" style="99" customWidth="1"/>
    <col min="7696" max="7698" width="0" style="99" hidden="1" customWidth="1"/>
    <col min="7699" max="7936" width="9.109375" style="99"/>
    <col min="7937" max="7937" width="84" style="99" customWidth="1"/>
    <col min="7938" max="7938" width="8.109375" style="99" customWidth="1"/>
    <col min="7939" max="7939" width="9.5546875" style="99" customWidth="1"/>
    <col min="7940" max="7940" width="14.5546875" style="99" customWidth="1"/>
    <col min="7941" max="7941" width="15" style="99" customWidth="1"/>
    <col min="7942" max="7942" width="12.44140625" style="99" customWidth="1"/>
    <col min="7943" max="7945" width="0" style="99" hidden="1" customWidth="1"/>
    <col min="7946" max="7946" width="16.6640625" style="99" customWidth="1"/>
    <col min="7947" max="7947" width="17.5546875" style="99" customWidth="1"/>
    <col min="7948" max="7948" width="13.5546875" style="99" customWidth="1"/>
    <col min="7949" max="7949" width="10.33203125" style="99" customWidth="1"/>
    <col min="7950" max="7950" width="10.109375" style="99" customWidth="1"/>
    <col min="7951" max="7951" width="10.5546875" style="99" customWidth="1"/>
    <col min="7952" max="7954" width="0" style="99" hidden="1" customWidth="1"/>
    <col min="7955" max="8192" width="9.109375" style="99"/>
    <col min="8193" max="8193" width="84" style="99" customWidth="1"/>
    <col min="8194" max="8194" width="8.109375" style="99" customWidth="1"/>
    <col min="8195" max="8195" width="9.5546875" style="99" customWidth="1"/>
    <col min="8196" max="8196" width="14.5546875" style="99" customWidth="1"/>
    <col min="8197" max="8197" width="15" style="99" customWidth="1"/>
    <col min="8198" max="8198" width="12.44140625" style="99" customWidth="1"/>
    <col min="8199" max="8201" width="0" style="99" hidden="1" customWidth="1"/>
    <col min="8202" max="8202" width="16.6640625" style="99" customWidth="1"/>
    <col min="8203" max="8203" width="17.5546875" style="99" customWidth="1"/>
    <col min="8204" max="8204" width="13.5546875" style="99" customWidth="1"/>
    <col min="8205" max="8205" width="10.33203125" style="99" customWidth="1"/>
    <col min="8206" max="8206" width="10.109375" style="99" customWidth="1"/>
    <col min="8207" max="8207" width="10.5546875" style="99" customWidth="1"/>
    <col min="8208" max="8210" width="0" style="99" hidden="1" customWidth="1"/>
    <col min="8211" max="8448" width="9.109375" style="99"/>
    <col min="8449" max="8449" width="84" style="99" customWidth="1"/>
    <col min="8450" max="8450" width="8.109375" style="99" customWidth="1"/>
    <col min="8451" max="8451" width="9.5546875" style="99" customWidth="1"/>
    <col min="8452" max="8452" width="14.5546875" style="99" customWidth="1"/>
    <col min="8453" max="8453" width="15" style="99" customWidth="1"/>
    <col min="8454" max="8454" width="12.44140625" style="99" customWidth="1"/>
    <col min="8455" max="8457" width="0" style="99" hidden="1" customWidth="1"/>
    <col min="8458" max="8458" width="16.6640625" style="99" customWidth="1"/>
    <col min="8459" max="8459" width="17.5546875" style="99" customWidth="1"/>
    <col min="8460" max="8460" width="13.5546875" style="99" customWidth="1"/>
    <col min="8461" max="8461" width="10.33203125" style="99" customWidth="1"/>
    <col min="8462" max="8462" width="10.109375" style="99" customWidth="1"/>
    <col min="8463" max="8463" width="10.5546875" style="99" customWidth="1"/>
    <col min="8464" max="8466" width="0" style="99" hidden="1" customWidth="1"/>
    <col min="8467" max="8704" width="9.109375" style="99"/>
    <col min="8705" max="8705" width="84" style="99" customWidth="1"/>
    <col min="8706" max="8706" width="8.109375" style="99" customWidth="1"/>
    <col min="8707" max="8707" width="9.5546875" style="99" customWidth="1"/>
    <col min="8708" max="8708" width="14.5546875" style="99" customWidth="1"/>
    <col min="8709" max="8709" width="15" style="99" customWidth="1"/>
    <col min="8710" max="8710" width="12.44140625" style="99" customWidth="1"/>
    <col min="8711" max="8713" width="0" style="99" hidden="1" customWidth="1"/>
    <col min="8714" max="8714" width="16.6640625" style="99" customWidth="1"/>
    <col min="8715" max="8715" width="17.5546875" style="99" customWidth="1"/>
    <col min="8716" max="8716" width="13.5546875" style="99" customWidth="1"/>
    <col min="8717" max="8717" width="10.33203125" style="99" customWidth="1"/>
    <col min="8718" max="8718" width="10.109375" style="99" customWidth="1"/>
    <col min="8719" max="8719" width="10.5546875" style="99" customWidth="1"/>
    <col min="8720" max="8722" width="0" style="99" hidden="1" customWidth="1"/>
    <col min="8723" max="8960" width="9.109375" style="99"/>
    <col min="8961" max="8961" width="84" style="99" customWidth="1"/>
    <col min="8962" max="8962" width="8.109375" style="99" customWidth="1"/>
    <col min="8963" max="8963" width="9.5546875" style="99" customWidth="1"/>
    <col min="8964" max="8964" width="14.5546875" style="99" customWidth="1"/>
    <col min="8965" max="8965" width="15" style="99" customWidth="1"/>
    <col min="8966" max="8966" width="12.44140625" style="99" customWidth="1"/>
    <col min="8967" max="8969" width="0" style="99" hidden="1" customWidth="1"/>
    <col min="8970" max="8970" width="16.6640625" style="99" customWidth="1"/>
    <col min="8971" max="8971" width="17.5546875" style="99" customWidth="1"/>
    <col min="8972" max="8972" width="13.5546875" style="99" customWidth="1"/>
    <col min="8973" max="8973" width="10.33203125" style="99" customWidth="1"/>
    <col min="8974" max="8974" width="10.109375" style="99" customWidth="1"/>
    <col min="8975" max="8975" width="10.5546875" style="99" customWidth="1"/>
    <col min="8976" max="8978" width="0" style="99" hidden="1" customWidth="1"/>
    <col min="8979" max="9216" width="9.109375" style="99"/>
    <col min="9217" max="9217" width="84" style="99" customWidth="1"/>
    <col min="9218" max="9218" width="8.109375" style="99" customWidth="1"/>
    <col min="9219" max="9219" width="9.5546875" style="99" customWidth="1"/>
    <col min="9220" max="9220" width="14.5546875" style="99" customWidth="1"/>
    <col min="9221" max="9221" width="15" style="99" customWidth="1"/>
    <col min="9222" max="9222" width="12.44140625" style="99" customWidth="1"/>
    <col min="9223" max="9225" width="0" style="99" hidden="1" customWidth="1"/>
    <col min="9226" max="9226" width="16.6640625" style="99" customWidth="1"/>
    <col min="9227" max="9227" width="17.5546875" style="99" customWidth="1"/>
    <col min="9228" max="9228" width="13.5546875" style="99" customWidth="1"/>
    <col min="9229" max="9229" width="10.33203125" style="99" customWidth="1"/>
    <col min="9230" max="9230" width="10.109375" style="99" customWidth="1"/>
    <col min="9231" max="9231" width="10.5546875" style="99" customWidth="1"/>
    <col min="9232" max="9234" width="0" style="99" hidden="1" customWidth="1"/>
    <col min="9235" max="9472" width="9.109375" style="99"/>
    <col min="9473" max="9473" width="84" style="99" customWidth="1"/>
    <col min="9474" max="9474" width="8.109375" style="99" customWidth="1"/>
    <col min="9475" max="9475" width="9.5546875" style="99" customWidth="1"/>
    <col min="9476" max="9476" width="14.5546875" style="99" customWidth="1"/>
    <col min="9477" max="9477" width="15" style="99" customWidth="1"/>
    <col min="9478" max="9478" width="12.44140625" style="99" customWidth="1"/>
    <col min="9479" max="9481" width="0" style="99" hidden="1" customWidth="1"/>
    <col min="9482" max="9482" width="16.6640625" style="99" customWidth="1"/>
    <col min="9483" max="9483" width="17.5546875" style="99" customWidth="1"/>
    <col min="9484" max="9484" width="13.5546875" style="99" customWidth="1"/>
    <col min="9485" max="9485" width="10.33203125" style="99" customWidth="1"/>
    <col min="9486" max="9486" width="10.109375" style="99" customWidth="1"/>
    <col min="9487" max="9487" width="10.5546875" style="99" customWidth="1"/>
    <col min="9488" max="9490" width="0" style="99" hidden="1" customWidth="1"/>
    <col min="9491" max="9728" width="9.109375" style="99"/>
    <col min="9729" max="9729" width="84" style="99" customWidth="1"/>
    <col min="9730" max="9730" width="8.109375" style="99" customWidth="1"/>
    <col min="9731" max="9731" width="9.5546875" style="99" customWidth="1"/>
    <col min="9732" max="9732" width="14.5546875" style="99" customWidth="1"/>
    <col min="9733" max="9733" width="15" style="99" customWidth="1"/>
    <col min="9734" max="9734" width="12.44140625" style="99" customWidth="1"/>
    <col min="9735" max="9737" width="0" style="99" hidden="1" customWidth="1"/>
    <col min="9738" max="9738" width="16.6640625" style="99" customWidth="1"/>
    <col min="9739" max="9739" width="17.5546875" style="99" customWidth="1"/>
    <col min="9740" max="9740" width="13.5546875" style="99" customWidth="1"/>
    <col min="9741" max="9741" width="10.33203125" style="99" customWidth="1"/>
    <col min="9742" max="9742" width="10.109375" style="99" customWidth="1"/>
    <col min="9743" max="9743" width="10.5546875" style="99" customWidth="1"/>
    <col min="9744" max="9746" width="0" style="99" hidden="1" customWidth="1"/>
    <col min="9747" max="9984" width="9.109375" style="99"/>
    <col min="9985" max="9985" width="84" style="99" customWidth="1"/>
    <col min="9986" max="9986" width="8.109375" style="99" customWidth="1"/>
    <col min="9987" max="9987" width="9.5546875" style="99" customWidth="1"/>
    <col min="9988" max="9988" width="14.5546875" style="99" customWidth="1"/>
    <col min="9989" max="9989" width="15" style="99" customWidth="1"/>
    <col min="9990" max="9990" width="12.44140625" style="99" customWidth="1"/>
    <col min="9991" max="9993" width="0" style="99" hidden="1" customWidth="1"/>
    <col min="9994" max="9994" width="16.6640625" style="99" customWidth="1"/>
    <col min="9995" max="9995" width="17.5546875" style="99" customWidth="1"/>
    <col min="9996" max="9996" width="13.5546875" style="99" customWidth="1"/>
    <col min="9997" max="9997" width="10.33203125" style="99" customWidth="1"/>
    <col min="9998" max="9998" width="10.109375" style="99" customWidth="1"/>
    <col min="9999" max="9999" width="10.5546875" style="99" customWidth="1"/>
    <col min="10000" max="10002" width="0" style="99" hidden="1" customWidth="1"/>
    <col min="10003" max="10240" width="9.109375" style="99"/>
    <col min="10241" max="10241" width="84" style="99" customWidth="1"/>
    <col min="10242" max="10242" width="8.109375" style="99" customWidth="1"/>
    <col min="10243" max="10243" width="9.5546875" style="99" customWidth="1"/>
    <col min="10244" max="10244" width="14.5546875" style="99" customWidth="1"/>
    <col min="10245" max="10245" width="15" style="99" customWidth="1"/>
    <col min="10246" max="10246" width="12.44140625" style="99" customWidth="1"/>
    <col min="10247" max="10249" width="0" style="99" hidden="1" customWidth="1"/>
    <col min="10250" max="10250" width="16.6640625" style="99" customWidth="1"/>
    <col min="10251" max="10251" width="17.5546875" style="99" customWidth="1"/>
    <col min="10252" max="10252" width="13.5546875" style="99" customWidth="1"/>
    <col min="10253" max="10253" width="10.33203125" style="99" customWidth="1"/>
    <col min="10254" max="10254" width="10.109375" style="99" customWidth="1"/>
    <col min="10255" max="10255" width="10.5546875" style="99" customWidth="1"/>
    <col min="10256" max="10258" width="0" style="99" hidden="1" customWidth="1"/>
    <col min="10259" max="10496" width="9.109375" style="99"/>
    <col min="10497" max="10497" width="84" style="99" customWidth="1"/>
    <col min="10498" max="10498" width="8.109375" style="99" customWidth="1"/>
    <col min="10499" max="10499" width="9.5546875" style="99" customWidth="1"/>
    <col min="10500" max="10500" width="14.5546875" style="99" customWidth="1"/>
    <col min="10501" max="10501" width="15" style="99" customWidth="1"/>
    <col min="10502" max="10502" width="12.44140625" style="99" customWidth="1"/>
    <col min="10503" max="10505" width="0" style="99" hidden="1" customWidth="1"/>
    <col min="10506" max="10506" width="16.6640625" style="99" customWidth="1"/>
    <col min="10507" max="10507" width="17.5546875" style="99" customWidth="1"/>
    <col min="10508" max="10508" width="13.5546875" style="99" customWidth="1"/>
    <col min="10509" max="10509" width="10.33203125" style="99" customWidth="1"/>
    <col min="10510" max="10510" width="10.109375" style="99" customWidth="1"/>
    <col min="10511" max="10511" width="10.5546875" style="99" customWidth="1"/>
    <col min="10512" max="10514" width="0" style="99" hidden="1" customWidth="1"/>
    <col min="10515" max="10752" width="9.109375" style="99"/>
    <col min="10753" max="10753" width="84" style="99" customWidth="1"/>
    <col min="10754" max="10754" width="8.109375" style="99" customWidth="1"/>
    <col min="10755" max="10755" width="9.5546875" style="99" customWidth="1"/>
    <col min="10756" max="10756" width="14.5546875" style="99" customWidth="1"/>
    <col min="10757" max="10757" width="15" style="99" customWidth="1"/>
    <col min="10758" max="10758" width="12.44140625" style="99" customWidth="1"/>
    <col min="10759" max="10761" width="0" style="99" hidden="1" customWidth="1"/>
    <col min="10762" max="10762" width="16.6640625" style="99" customWidth="1"/>
    <col min="10763" max="10763" width="17.5546875" style="99" customWidth="1"/>
    <col min="10764" max="10764" width="13.5546875" style="99" customWidth="1"/>
    <col min="10765" max="10765" width="10.33203125" style="99" customWidth="1"/>
    <col min="10766" max="10766" width="10.109375" style="99" customWidth="1"/>
    <col min="10767" max="10767" width="10.5546875" style="99" customWidth="1"/>
    <col min="10768" max="10770" width="0" style="99" hidden="1" customWidth="1"/>
    <col min="10771" max="11008" width="9.109375" style="99"/>
    <col min="11009" max="11009" width="84" style="99" customWidth="1"/>
    <col min="11010" max="11010" width="8.109375" style="99" customWidth="1"/>
    <col min="11011" max="11011" width="9.5546875" style="99" customWidth="1"/>
    <col min="11012" max="11012" width="14.5546875" style="99" customWidth="1"/>
    <col min="11013" max="11013" width="15" style="99" customWidth="1"/>
    <col min="11014" max="11014" width="12.44140625" style="99" customWidth="1"/>
    <col min="11015" max="11017" width="0" style="99" hidden="1" customWidth="1"/>
    <col min="11018" max="11018" width="16.6640625" style="99" customWidth="1"/>
    <col min="11019" max="11019" width="17.5546875" style="99" customWidth="1"/>
    <col min="11020" max="11020" width="13.5546875" style="99" customWidth="1"/>
    <col min="11021" max="11021" width="10.33203125" style="99" customWidth="1"/>
    <col min="11022" max="11022" width="10.109375" style="99" customWidth="1"/>
    <col min="11023" max="11023" width="10.5546875" style="99" customWidth="1"/>
    <col min="11024" max="11026" width="0" style="99" hidden="1" customWidth="1"/>
    <col min="11027" max="11264" width="9.109375" style="99"/>
    <col min="11265" max="11265" width="84" style="99" customWidth="1"/>
    <col min="11266" max="11266" width="8.109375" style="99" customWidth="1"/>
    <col min="11267" max="11267" width="9.5546875" style="99" customWidth="1"/>
    <col min="11268" max="11268" width="14.5546875" style="99" customWidth="1"/>
    <col min="11269" max="11269" width="15" style="99" customWidth="1"/>
    <col min="11270" max="11270" width="12.44140625" style="99" customWidth="1"/>
    <col min="11271" max="11273" width="0" style="99" hidden="1" customWidth="1"/>
    <col min="11274" max="11274" width="16.6640625" style="99" customWidth="1"/>
    <col min="11275" max="11275" width="17.5546875" style="99" customWidth="1"/>
    <col min="11276" max="11276" width="13.5546875" style="99" customWidth="1"/>
    <col min="11277" max="11277" width="10.33203125" style="99" customWidth="1"/>
    <col min="11278" max="11278" width="10.109375" style="99" customWidth="1"/>
    <col min="11279" max="11279" width="10.5546875" style="99" customWidth="1"/>
    <col min="11280" max="11282" width="0" style="99" hidden="1" customWidth="1"/>
    <col min="11283" max="11520" width="9.109375" style="99"/>
    <col min="11521" max="11521" width="84" style="99" customWidth="1"/>
    <col min="11522" max="11522" width="8.109375" style="99" customWidth="1"/>
    <col min="11523" max="11523" width="9.5546875" style="99" customWidth="1"/>
    <col min="11524" max="11524" width="14.5546875" style="99" customWidth="1"/>
    <col min="11525" max="11525" width="15" style="99" customWidth="1"/>
    <col min="11526" max="11526" width="12.44140625" style="99" customWidth="1"/>
    <col min="11527" max="11529" width="0" style="99" hidden="1" customWidth="1"/>
    <col min="11530" max="11530" width="16.6640625" style="99" customWidth="1"/>
    <col min="11531" max="11531" width="17.5546875" style="99" customWidth="1"/>
    <col min="11532" max="11532" width="13.5546875" style="99" customWidth="1"/>
    <col min="11533" max="11533" width="10.33203125" style="99" customWidth="1"/>
    <col min="11534" max="11534" width="10.109375" style="99" customWidth="1"/>
    <col min="11535" max="11535" width="10.5546875" style="99" customWidth="1"/>
    <col min="11536" max="11538" width="0" style="99" hidden="1" customWidth="1"/>
    <col min="11539" max="11776" width="9.109375" style="99"/>
    <col min="11777" max="11777" width="84" style="99" customWidth="1"/>
    <col min="11778" max="11778" width="8.109375" style="99" customWidth="1"/>
    <col min="11779" max="11779" width="9.5546875" style="99" customWidth="1"/>
    <col min="11780" max="11780" width="14.5546875" style="99" customWidth="1"/>
    <col min="11781" max="11781" width="15" style="99" customWidth="1"/>
    <col min="11782" max="11782" width="12.44140625" style="99" customWidth="1"/>
    <col min="11783" max="11785" width="0" style="99" hidden="1" customWidth="1"/>
    <col min="11786" max="11786" width="16.6640625" style="99" customWidth="1"/>
    <col min="11787" max="11787" width="17.5546875" style="99" customWidth="1"/>
    <col min="11788" max="11788" width="13.5546875" style="99" customWidth="1"/>
    <col min="11789" max="11789" width="10.33203125" style="99" customWidth="1"/>
    <col min="11790" max="11790" width="10.109375" style="99" customWidth="1"/>
    <col min="11791" max="11791" width="10.5546875" style="99" customWidth="1"/>
    <col min="11792" max="11794" width="0" style="99" hidden="1" customWidth="1"/>
    <col min="11795" max="12032" width="9.109375" style="99"/>
    <col min="12033" max="12033" width="84" style="99" customWidth="1"/>
    <col min="12034" max="12034" width="8.109375" style="99" customWidth="1"/>
    <col min="12035" max="12035" width="9.5546875" style="99" customWidth="1"/>
    <col min="12036" max="12036" width="14.5546875" style="99" customWidth="1"/>
    <col min="12037" max="12037" width="15" style="99" customWidth="1"/>
    <col min="12038" max="12038" width="12.44140625" style="99" customWidth="1"/>
    <col min="12039" max="12041" width="0" style="99" hidden="1" customWidth="1"/>
    <col min="12042" max="12042" width="16.6640625" style="99" customWidth="1"/>
    <col min="12043" max="12043" width="17.5546875" style="99" customWidth="1"/>
    <col min="12044" max="12044" width="13.5546875" style="99" customWidth="1"/>
    <col min="12045" max="12045" width="10.33203125" style="99" customWidth="1"/>
    <col min="12046" max="12046" width="10.109375" style="99" customWidth="1"/>
    <col min="12047" max="12047" width="10.5546875" style="99" customWidth="1"/>
    <col min="12048" max="12050" width="0" style="99" hidden="1" customWidth="1"/>
    <col min="12051" max="12288" width="9.109375" style="99"/>
    <col min="12289" max="12289" width="84" style="99" customWidth="1"/>
    <col min="12290" max="12290" width="8.109375" style="99" customWidth="1"/>
    <col min="12291" max="12291" width="9.5546875" style="99" customWidth="1"/>
    <col min="12292" max="12292" width="14.5546875" style="99" customWidth="1"/>
    <col min="12293" max="12293" width="15" style="99" customWidth="1"/>
    <col min="12294" max="12294" width="12.44140625" style="99" customWidth="1"/>
    <col min="12295" max="12297" width="0" style="99" hidden="1" customWidth="1"/>
    <col min="12298" max="12298" width="16.6640625" style="99" customWidth="1"/>
    <col min="12299" max="12299" width="17.5546875" style="99" customWidth="1"/>
    <col min="12300" max="12300" width="13.5546875" style="99" customWidth="1"/>
    <col min="12301" max="12301" width="10.33203125" style="99" customWidth="1"/>
    <col min="12302" max="12302" width="10.109375" style="99" customWidth="1"/>
    <col min="12303" max="12303" width="10.5546875" style="99" customWidth="1"/>
    <col min="12304" max="12306" width="0" style="99" hidden="1" customWidth="1"/>
    <col min="12307" max="12544" width="9.109375" style="99"/>
    <col min="12545" max="12545" width="84" style="99" customWidth="1"/>
    <col min="12546" max="12546" width="8.109375" style="99" customWidth="1"/>
    <col min="12547" max="12547" width="9.5546875" style="99" customWidth="1"/>
    <col min="12548" max="12548" width="14.5546875" style="99" customWidth="1"/>
    <col min="12549" max="12549" width="15" style="99" customWidth="1"/>
    <col min="12550" max="12550" width="12.44140625" style="99" customWidth="1"/>
    <col min="12551" max="12553" width="0" style="99" hidden="1" customWidth="1"/>
    <col min="12554" max="12554" width="16.6640625" style="99" customWidth="1"/>
    <col min="12555" max="12555" width="17.5546875" style="99" customWidth="1"/>
    <col min="12556" max="12556" width="13.5546875" style="99" customWidth="1"/>
    <col min="12557" max="12557" width="10.33203125" style="99" customWidth="1"/>
    <col min="12558" max="12558" width="10.109375" style="99" customWidth="1"/>
    <col min="12559" max="12559" width="10.5546875" style="99" customWidth="1"/>
    <col min="12560" max="12562" width="0" style="99" hidden="1" customWidth="1"/>
    <col min="12563" max="12800" width="9.109375" style="99"/>
    <col min="12801" max="12801" width="84" style="99" customWidth="1"/>
    <col min="12802" max="12802" width="8.109375" style="99" customWidth="1"/>
    <col min="12803" max="12803" width="9.5546875" style="99" customWidth="1"/>
    <col min="12804" max="12804" width="14.5546875" style="99" customWidth="1"/>
    <col min="12805" max="12805" width="15" style="99" customWidth="1"/>
    <col min="12806" max="12806" width="12.44140625" style="99" customWidth="1"/>
    <col min="12807" max="12809" width="0" style="99" hidden="1" customWidth="1"/>
    <col min="12810" max="12810" width="16.6640625" style="99" customWidth="1"/>
    <col min="12811" max="12811" width="17.5546875" style="99" customWidth="1"/>
    <col min="12812" max="12812" width="13.5546875" style="99" customWidth="1"/>
    <col min="12813" max="12813" width="10.33203125" style="99" customWidth="1"/>
    <col min="12814" max="12814" width="10.109375" style="99" customWidth="1"/>
    <col min="12815" max="12815" width="10.5546875" style="99" customWidth="1"/>
    <col min="12816" max="12818" width="0" style="99" hidden="1" customWidth="1"/>
    <col min="12819" max="13056" width="9.109375" style="99"/>
    <col min="13057" max="13057" width="84" style="99" customWidth="1"/>
    <col min="13058" max="13058" width="8.109375" style="99" customWidth="1"/>
    <col min="13059" max="13059" width="9.5546875" style="99" customWidth="1"/>
    <col min="13060" max="13060" width="14.5546875" style="99" customWidth="1"/>
    <col min="13061" max="13061" width="15" style="99" customWidth="1"/>
    <col min="13062" max="13062" width="12.44140625" style="99" customWidth="1"/>
    <col min="13063" max="13065" width="0" style="99" hidden="1" customWidth="1"/>
    <col min="13066" max="13066" width="16.6640625" style="99" customWidth="1"/>
    <col min="13067" max="13067" width="17.5546875" style="99" customWidth="1"/>
    <col min="13068" max="13068" width="13.5546875" style="99" customWidth="1"/>
    <col min="13069" max="13069" width="10.33203125" style="99" customWidth="1"/>
    <col min="13070" max="13070" width="10.109375" style="99" customWidth="1"/>
    <col min="13071" max="13071" width="10.5546875" style="99" customWidth="1"/>
    <col min="13072" max="13074" width="0" style="99" hidden="1" customWidth="1"/>
    <col min="13075" max="13312" width="9.109375" style="99"/>
    <col min="13313" max="13313" width="84" style="99" customWidth="1"/>
    <col min="13314" max="13314" width="8.109375" style="99" customWidth="1"/>
    <col min="13315" max="13315" width="9.5546875" style="99" customWidth="1"/>
    <col min="13316" max="13316" width="14.5546875" style="99" customWidth="1"/>
    <col min="13317" max="13317" width="15" style="99" customWidth="1"/>
    <col min="13318" max="13318" width="12.44140625" style="99" customWidth="1"/>
    <col min="13319" max="13321" width="0" style="99" hidden="1" customWidth="1"/>
    <col min="13322" max="13322" width="16.6640625" style="99" customWidth="1"/>
    <col min="13323" max="13323" width="17.5546875" style="99" customWidth="1"/>
    <col min="13324" max="13324" width="13.5546875" style="99" customWidth="1"/>
    <col min="13325" max="13325" width="10.33203125" style="99" customWidth="1"/>
    <col min="13326" max="13326" width="10.109375" style="99" customWidth="1"/>
    <col min="13327" max="13327" width="10.5546875" style="99" customWidth="1"/>
    <col min="13328" max="13330" width="0" style="99" hidden="1" customWidth="1"/>
    <col min="13331" max="13568" width="9.109375" style="99"/>
    <col min="13569" max="13569" width="84" style="99" customWidth="1"/>
    <col min="13570" max="13570" width="8.109375" style="99" customWidth="1"/>
    <col min="13571" max="13571" width="9.5546875" style="99" customWidth="1"/>
    <col min="13572" max="13572" width="14.5546875" style="99" customWidth="1"/>
    <col min="13573" max="13573" width="15" style="99" customWidth="1"/>
    <col min="13574" max="13574" width="12.44140625" style="99" customWidth="1"/>
    <col min="13575" max="13577" width="0" style="99" hidden="1" customWidth="1"/>
    <col min="13578" max="13578" width="16.6640625" style="99" customWidth="1"/>
    <col min="13579" max="13579" width="17.5546875" style="99" customWidth="1"/>
    <col min="13580" max="13580" width="13.5546875" style="99" customWidth="1"/>
    <col min="13581" max="13581" width="10.33203125" style="99" customWidth="1"/>
    <col min="13582" max="13582" width="10.109375" style="99" customWidth="1"/>
    <col min="13583" max="13583" width="10.5546875" style="99" customWidth="1"/>
    <col min="13584" max="13586" width="0" style="99" hidden="1" customWidth="1"/>
    <col min="13587" max="13824" width="9.109375" style="99"/>
    <col min="13825" max="13825" width="84" style="99" customWidth="1"/>
    <col min="13826" max="13826" width="8.109375" style="99" customWidth="1"/>
    <col min="13827" max="13827" width="9.5546875" style="99" customWidth="1"/>
    <col min="13828" max="13828" width="14.5546875" style="99" customWidth="1"/>
    <col min="13829" max="13829" width="15" style="99" customWidth="1"/>
    <col min="13830" max="13830" width="12.44140625" style="99" customWidth="1"/>
    <col min="13831" max="13833" width="0" style="99" hidden="1" customWidth="1"/>
    <col min="13834" max="13834" width="16.6640625" style="99" customWidth="1"/>
    <col min="13835" max="13835" width="17.5546875" style="99" customWidth="1"/>
    <col min="13836" max="13836" width="13.5546875" style="99" customWidth="1"/>
    <col min="13837" max="13837" width="10.33203125" style="99" customWidth="1"/>
    <col min="13838" max="13838" width="10.109375" style="99" customWidth="1"/>
    <col min="13839" max="13839" width="10.5546875" style="99" customWidth="1"/>
    <col min="13840" max="13842" width="0" style="99" hidden="1" customWidth="1"/>
    <col min="13843" max="14080" width="9.109375" style="99"/>
    <col min="14081" max="14081" width="84" style="99" customWidth="1"/>
    <col min="14082" max="14082" width="8.109375" style="99" customWidth="1"/>
    <col min="14083" max="14083" width="9.5546875" style="99" customWidth="1"/>
    <col min="14084" max="14084" width="14.5546875" style="99" customWidth="1"/>
    <col min="14085" max="14085" width="15" style="99" customWidth="1"/>
    <col min="14086" max="14086" width="12.44140625" style="99" customWidth="1"/>
    <col min="14087" max="14089" width="0" style="99" hidden="1" customWidth="1"/>
    <col min="14090" max="14090" width="16.6640625" style="99" customWidth="1"/>
    <col min="14091" max="14091" width="17.5546875" style="99" customWidth="1"/>
    <col min="14092" max="14092" width="13.5546875" style="99" customWidth="1"/>
    <col min="14093" max="14093" width="10.33203125" style="99" customWidth="1"/>
    <col min="14094" max="14094" width="10.109375" style="99" customWidth="1"/>
    <col min="14095" max="14095" width="10.5546875" style="99" customWidth="1"/>
    <col min="14096" max="14098" width="0" style="99" hidden="1" customWidth="1"/>
    <col min="14099" max="14336" width="9.109375" style="99"/>
    <col min="14337" max="14337" width="84" style="99" customWidth="1"/>
    <col min="14338" max="14338" width="8.109375" style="99" customWidth="1"/>
    <col min="14339" max="14339" width="9.5546875" style="99" customWidth="1"/>
    <col min="14340" max="14340" width="14.5546875" style="99" customWidth="1"/>
    <col min="14341" max="14341" width="15" style="99" customWidth="1"/>
    <col min="14342" max="14342" width="12.44140625" style="99" customWidth="1"/>
    <col min="14343" max="14345" width="0" style="99" hidden="1" customWidth="1"/>
    <col min="14346" max="14346" width="16.6640625" style="99" customWidth="1"/>
    <col min="14347" max="14347" width="17.5546875" style="99" customWidth="1"/>
    <col min="14348" max="14348" width="13.5546875" style="99" customWidth="1"/>
    <col min="14349" max="14349" width="10.33203125" style="99" customWidth="1"/>
    <col min="14350" max="14350" width="10.109375" style="99" customWidth="1"/>
    <col min="14351" max="14351" width="10.5546875" style="99" customWidth="1"/>
    <col min="14352" max="14354" width="0" style="99" hidden="1" customWidth="1"/>
    <col min="14355" max="14592" width="9.109375" style="99"/>
    <col min="14593" max="14593" width="84" style="99" customWidth="1"/>
    <col min="14594" max="14594" width="8.109375" style="99" customWidth="1"/>
    <col min="14595" max="14595" width="9.5546875" style="99" customWidth="1"/>
    <col min="14596" max="14596" width="14.5546875" style="99" customWidth="1"/>
    <col min="14597" max="14597" width="15" style="99" customWidth="1"/>
    <col min="14598" max="14598" width="12.44140625" style="99" customWidth="1"/>
    <col min="14599" max="14601" width="0" style="99" hidden="1" customWidth="1"/>
    <col min="14602" max="14602" width="16.6640625" style="99" customWidth="1"/>
    <col min="14603" max="14603" width="17.5546875" style="99" customWidth="1"/>
    <col min="14604" max="14604" width="13.5546875" style="99" customWidth="1"/>
    <col min="14605" max="14605" width="10.33203125" style="99" customWidth="1"/>
    <col min="14606" max="14606" width="10.109375" style="99" customWidth="1"/>
    <col min="14607" max="14607" width="10.5546875" style="99" customWidth="1"/>
    <col min="14608" max="14610" width="0" style="99" hidden="1" customWidth="1"/>
    <col min="14611" max="14848" width="9.109375" style="99"/>
    <col min="14849" max="14849" width="84" style="99" customWidth="1"/>
    <col min="14850" max="14850" width="8.109375" style="99" customWidth="1"/>
    <col min="14851" max="14851" width="9.5546875" style="99" customWidth="1"/>
    <col min="14852" max="14852" width="14.5546875" style="99" customWidth="1"/>
    <col min="14853" max="14853" width="15" style="99" customWidth="1"/>
    <col min="14854" max="14854" width="12.44140625" style="99" customWidth="1"/>
    <col min="14855" max="14857" width="0" style="99" hidden="1" customWidth="1"/>
    <col min="14858" max="14858" width="16.6640625" style="99" customWidth="1"/>
    <col min="14859" max="14859" width="17.5546875" style="99" customWidth="1"/>
    <col min="14860" max="14860" width="13.5546875" style="99" customWidth="1"/>
    <col min="14861" max="14861" width="10.33203125" style="99" customWidth="1"/>
    <col min="14862" max="14862" width="10.109375" style="99" customWidth="1"/>
    <col min="14863" max="14863" width="10.5546875" style="99" customWidth="1"/>
    <col min="14864" max="14866" width="0" style="99" hidden="1" customWidth="1"/>
    <col min="14867" max="15104" width="9.109375" style="99"/>
    <col min="15105" max="15105" width="84" style="99" customWidth="1"/>
    <col min="15106" max="15106" width="8.109375" style="99" customWidth="1"/>
    <col min="15107" max="15107" width="9.5546875" style="99" customWidth="1"/>
    <col min="15108" max="15108" width="14.5546875" style="99" customWidth="1"/>
    <col min="15109" max="15109" width="15" style="99" customWidth="1"/>
    <col min="15110" max="15110" width="12.44140625" style="99" customWidth="1"/>
    <col min="15111" max="15113" width="0" style="99" hidden="1" customWidth="1"/>
    <col min="15114" max="15114" width="16.6640625" style="99" customWidth="1"/>
    <col min="15115" max="15115" width="17.5546875" style="99" customWidth="1"/>
    <col min="15116" max="15116" width="13.5546875" style="99" customWidth="1"/>
    <col min="15117" max="15117" width="10.33203125" style="99" customWidth="1"/>
    <col min="15118" max="15118" width="10.109375" style="99" customWidth="1"/>
    <col min="15119" max="15119" width="10.5546875" style="99" customWidth="1"/>
    <col min="15120" max="15122" width="0" style="99" hidden="1" customWidth="1"/>
    <col min="15123" max="15360" width="9.109375" style="99"/>
    <col min="15361" max="15361" width="84" style="99" customWidth="1"/>
    <col min="15362" max="15362" width="8.109375" style="99" customWidth="1"/>
    <col min="15363" max="15363" width="9.5546875" style="99" customWidth="1"/>
    <col min="15364" max="15364" width="14.5546875" style="99" customWidth="1"/>
    <col min="15365" max="15365" width="15" style="99" customWidth="1"/>
    <col min="15366" max="15366" width="12.44140625" style="99" customWidth="1"/>
    <col min="15367" max="15369" width="0" style="99" hidden="1" customWidth="1"/>
    <col min="15370" max="15370" width="16.6640625" style="99" customWidth="1"/>
    <col min="15371" max="15371" width="17.5546875" style="99" customWidth="1"/>
    <col min="15372" max="15372" width="13.5546875" style="99" customWidth="1"/>
    <col min="15373" max="15373" width="10.33203125" style="99" customWidth="1"/>
    <col min="15374" max="15374" width="10.109375" style="99" customWidth="1"/>
    <col min="15375" max="15375" width="10.5546875" style="99" customWidth="1"/>
    <col min="15376" max="15378" width="0" style="99" hidden="1" customWidth="1"/>
    <col min="15379" max="15616" width="9.109375" style="99"/>
    <col min="15617" max="15617" width="84" style="99" customWidth="1"/>
    <col min="15618" max="15618" width="8.109375" style="99" customWidth="1"/>
    <col min="15619" max="15619" width="9.5546875" style="99" customWidth="1"/>
    <col min="15620" max="15620" width="14.5546875" style="99" customWidth="1"/>
    <col min="15621" max="15621" width="15" style="99" customWidth="1"/>
    <col min="15622" max="15622" width="12.44140625" style="99" customWidth="1"/>
    <col min="15623" max="15625" width="0" style="99" hidden="1" customWidth="1"/>
    <col min="15626" max="15626" width="16.6640625" style="99" customWidth="1"/>
    <col min="15627" max="15627" width="17.5546875" style="99" customWidth="1"/>
    <col min="15628" max="15628" width="13.5546875" style="99" customWidth="1"/>
    <col min="15629" max="15629" width="10.33203125" style="99" customWidth="1"/>
    <col min="15630" max="15630" width="10.109375" style="99" customWidth="1"/>
    <col min="15631" max="15631" width="10.5546875" style="99" customWidth="1"/>
    <col min="15632" max="15634" width="0" style="99" hidden="1" customWidth="1"/>
    <col min="15635" max="15872" width="9.109375" style="99"/>
    <col min="15873" max="15873" width="84" style="99" customWidth="1"/>
    <col min="15874" max="15874" width="8.109375" style="99" customWidth="1"/>
    <col min="15875" max="15875" width="9.5546875" style="99" customWidth="1"/>
    <col min="15876" max="15876" width="14.5546875" style="99" customWidth="1"/>
    <col min="15877" max="15877" width="15" style="99" customWidth="1"/>
    <col min="15878" max="15878" width="12.44140625" style="99" customWidth="1"/>
    <col min="15879" max="15881" width="0" style="99" hidden="1" customWidth="1"/>
    <col min="15882" max="15882" width="16.6640625" style="99" customWidth="1"/>
    <col min="15883" max="15883" width="17.5546875" style="99" customWidth="1"/>
    <col min="15884" max="15884" width="13.5546875" style="99" customWidth="1"/>
    <col min="15885" max="15885" width="10.33203125" style="99" customWidth="1"/>
    <col min="15886" max="15886" width="10.109375" style="99" customWidth="1"/>
    <col min="15887" max="15887" width="10.5546875" style="99" customWidth="1"/>
    <col min="15888" max="15890" width="0" style="99" hidden="1" customWidth="1"/>
    <col min="15891" max="16128" width="9.109375" style="99"/>
    <col min="16129" max="16129" width="84" style="99" customWidth="1"/>
    <col min="16130" max="16130" width="8.109375" style="99" customWidth="1"/>
    <col min="16131" max="16131" width="9.5546875" style="99" customWidth="1"/>
    <col min="16132" max="16132" width="14.5546875" style="99" customWidth="1"/>
    <col min="16133" max="16133" width="15" style="99" customWidth="1"/>
    <col min="16134" max="16134" width="12.44140625" style="99" customWidth="1"/>
    <col min="16135" max="16137" width="0" style="99" hidden="1" customWidth="1"/>
    <col min="16138" max="16138" width="16.6640625" style="99" customWidth="1"/>
    <col min="16139" max="16139" width="17.5546875" style="99" customWidth="1"/>
    <col min="16140" max="16140" width="13.5546875" style="99" customWidth="1"/>
    <col min="16141" max="16141" width="10.33203125" style="99" customWidth="1"/>
    <col min="16142" max="16142" width="10.109375" style="99" customWidth="1"/>
    <col min="16143" max="16143" width="10.5546875" style="99" customWidth="1"/>
    <col min="16144" max="16146" width="0" style="99" hidden="1" customWidth="1"/>
    <col min="16147" max="16384" width="9.109375" style="99"/>
  </cols>
  <sheetData>
    <row r="1" spans="1:18" ht="17.399999999999999" x14ac:dyDescent="0.3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9"/>
      <c r="R1" s="99"/>
    </row>
    <row r="2" spans="1:18" ht="17.399999999999999" x14ac:dyDescent="0.3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9"/>
      <c r="R2" s="99"/>
    </row>
    <row r="3" spans="1:18" ht="16.2" thickBot="1" x14ac:dyDescent="0.35">
      <c r="A3" s="100"/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108" customFormat="1" ht="37.5" customHeight="1" x14ac:dyDescent="0.3">
      <c r="A4" s="102" t="s">
        <v>100</v>
      </c>
      <c r="B4" s="103" t="s">
        <v>101</v>
      </c>
      <c r="C4" s="103" t="s">
        <v>102</v>
      </c>
      <c r="D4" s="104" t="s">
        <v>103</v>
      </c>
      <c r="E4" s="104"/>
      <c r="F4" s="104"/>
      <c r="G4" s="104" t="s">
        <v>104</v>
      </c>
      <c r="H4" s="104"/>
      <c r="I4" s="104"/>
      <c r="J4" s="104" t="s">
        <v>105</v>
      </c>
      <c r="K4" s="105"/>
      <c r="L4" s="105"/>
      <c r="M4" s="104" t="s">
        <v>106</v>
      </c>
      <c r="N4" s="105"/>
      <c r="O4" s="106"/>
      <c r="P4" s="107" t="s">
        <v>107</v>
      </c>
      <c r="Q4" s="105"/>
      <c r="R4" s="106"/>
    </row>
    <row r="5" spans="1:18" s="108" customFormat="1" x14ac:dyDescent="0.3">
      <c r="A5" s="109"/>
      <c r="B5" s="110"/>
      <c r="C5" s="111"/>
      <c r="D5" s="112" t="s">
        <v>108</v>
      </c>
      <c r="E5" s="113" t="s">
        <v>109</v>
      </c>
      <c r="F5" s="114"/>
      <c r="G5" s="112" t="s">
        <v>108</v>
      </c>
      <c r="H5" s="113" t="s">
        <v>109</v>
      </c>
      <c r="I5" s="114"/>
      <c r="J5" s="112" t="s">
        <v>108</v>
      </c>
      <c r="K5" s="113" t="s">
        <v>109</v>
      </c>
      <c r="L5" s="114"/>
      <c r="M5" s="112" t="s">
        <v>108</v>
      </c>
      <c r="N5" s="113" t="s">
        <v>109</v>
      </c>
      <c r="O5" s="115"/>
      <c r="P5" s="116" t="s">
        <v>108</v>
      </c>
      <c r="Q5" s="113" t="s">
        <v>109</v>
      </c>
      <c r="R5" s="115"/>
    </row>
    <row r="6" spans="1:18" s="108" customFormat="1" ht="78.599999999999994" thickBot="1" x14ac:dyDescent="0.35">
      <c r="A6" s="117"/>
      <c r="B6" s="118"/>
      <c r="C6" s="119"/>
      <c r="D6" s="119"/>
      <c r="E6" s="120" t="s">
        <v>110</v>
      </c>
      <c r="F6" s="120" t="s">
        <v>111</v>
      </c>
      <c r="G6" s="119"/>
      <c r="H6" s="120" t="s">
        <v>110</v>
      </c>
      <c r="I6" s="120" t="s">
        <v>111</v>
      </c>
      <c r="J6" s="119"/>
      <c r="K6" s="120" t="s">
        <v>110</v>
      </c>
      <c r="L6" s="120" t="s">
        <v>111</v>
      </c>
      <c r="M6" s="119"/>
      <c r="N6" s="120" t="s">
        <v>110</v>
      </c>
      <c r="O6" s="121" t="s">
        <v>111</v>
      </c>
      <c r="P6" s="122"/>
      <c r="Q6" s="120" t="s">
        <v>110</v>
      </c>
      <c r="R6" s="121" t="s">
        <v>111</v>
      </c>
    </row>
    <row r="7" spans="1:18" s="108" customFormat="1" x14ac:dyDescent="0.3">
      <c r="A7" s="123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/>
      <c r="H7" s="124"/>
      <c r="I7" s="124"/>
      <c r="J7" s="124">
        <v>7</v>
      </c>
      <c r="K7" s="124">
        <v>8</v>
      </c>
      <c r="L7" s="124">
        <v>9</v>
      </c>
      <c r="M7" s="124">
        <v>10</v>
      </c>
      <c r="N7" s="124">
        <v>11</v>
      </c>
      <c r="O7" s="125">
        <v>12</v>
      </c>
      <c r="P7" s="126">
        <v>10</v>
      </c>
      <c r="Q7" s="124">
        <v>11</v>
      </c>
      <c r="R7" s="125">
        <v>12</v>
      </c>
    </row>
    <row r="8" spans="1:18" s="133" customFormat="1" x14ac:dyDescent="0.25">
      <c r="A8" s="127" t="s">
        <v>112</v>
      </c>
      <c r="B8" s="128" t="s">
        <v>113</v>
      </c>
      <c r="C8" s="128" t="s">
        <v>114</v>
      </c>
      <c r="D8" s="129">
        <f t="shared" ref="D8:L8" si="0">SUM(D9:D14)</f>
        <v>1394934.73</v>
      </c>
      <c r="E8" s="129">
        <f t="shared" si="0"/>
        <v>1394934.73</v>
      </c>
      <c r="F8" s="129">
        <f t="shared" si="0"/>
        <v>0</v>
      </c>
      <c r="G8" s="129">
        <f>SUM(G9:G14)</f>
        <v>841218.9</v>
      </c>
      <c r="H8" s="129">
        <f>SUM(H9:H14)</f>
        <v>841181.9</v>
      </c>
      <c r="I8" s="129">
        <f t="shared" si="0"/>
        <v>37</v>
      </c>
      <c r="J8" s="129">
        <f t="shared" si="0"/>
        <v>1283833.58</v>
      </c>
      <c r="K8" s="129">
        <f t="shared" si="0"/>
        <v>1283833.58</v>
      </c>
      <c r="L8" s="129">
        <f t="shared" si="0"/>
        <v>0</v>
      </c>
      <c r="M8" s="130">
        <f>SUM(J8/D8)*100</f>
        <v>92.035387204102378</v>
      </c>
      <c r="N8" s="130">
        <f>SUM(K8/E8)*100</f>
        <v>92.035387204102378</v>
      </c>
      <c r="O8" s="131">
        <v>0</v>
      </c>
      <c r="P8" s="132">
        <f>SUM(J8/G8)*100</f>
        <v>152.61587441746732</v>
      </c>
      <c r="Q8" s="130">
        <f>SUM(K8/H8)*100</f>
        <v>152.62258733812507</v>
      </c>
      <c r="R8" s="130">
        <v>0</v>
      </c>
    </row>
    <row r="9" spans="1:18" s="141" customFormat="1" ht="31.2" x14ac:dyDescent="0.25">
      <c r="A9" s="134" t="s">
        <v>115</v>
      </c>
      <c r="B9" s="135" t="s">
        <v>113</v>
      </c>
      <c r="C9" s="136" t="s">
        <v>116</v>
      </c>
      <c r="D9" s="137">
        <v>40568.21</v>
      </c>
      <c r="E9" s="137">
        <f>D9-F9</f>
        <v>40568.21</v>
      </c>
      <c r="F9" s="137"/>
      <c r="G9" s="137">
        <f>4208-102</f>
        <v>4106</v>
      </c>
      <c r="H9" s="137">
        <f>G9-I9</f>
        <v>4106</v>
      </c>
      <c r="I9" s="137"/>
      <c r="J9" s="137">
        <v>39629.019999999997</v>
      </c>
      <c r="K9" s="137">
        <f>J9-L9</f>
        <v>39629.019999999997</v>
      </c>
      <c r="L9" s="137"/>
      <c r="M9" s="138">
        <f t="shared" ref="M9:N14" si="1">(J9/D9)*100</f>
        <v>97.684911412162378</v>
      </c>
      <c r="N9" s="138">
        <f t="shared" si="1"/>
        <v>97.684911412162378</v>
      </c>
      <c r="O9" s="139"/>
      <c r="P9" s="140">
        <f>(J9/G9)*100</f>
        <v>965.14905017048204</v>
      </c>
      <c r="Q9" s="138">
        <f>(K9/H9)*100</f>
        <v>965.14905017048204</v>
      </c>
      <c r="R9" s="139"/>
    </row>
    <row r="10" spans="1:18" s="141" customFormat="1" ht="46.8" x14ac:dyDescent="0.25">
      <c r="A10" s="142" t="s">
        <v>117</v>
      </c>
      <c r="B10" s="135" t="s">
        <v>113</v>
      </c>
      <c r="C10" s="136" t="s">
        <v>118</v>
      </c>
      <c r="D10" s="137">
        <v>828799.69</v>
      </c>
      <c r="E10" s="137">
        <f t="shared" ref="E10:E57" si="2">D10-F10</f>
        <v>828799.69</v>
      </c>
      <c r="F10" s="137"/>
      <c r="G10" s="137">
        <f>657635.8-84467.5</f>
        <v>573168.30000000005</v>
      </c>
      <c r="H10" s="137">
        <f t="shared" ref="H10:H52" si="3">G10-I10</f>
        <v>573168.30000000005</v>
      </c>
      <c r="I10" s="137"/>
      <c r="J10" s="137">
        <v>805642.43</v>
      </c>
      <c r="K10" s="137">
        <f t="shared" ref="K10:K57" si="4">J10-L10</f>
        <v>805642.43</v>
      </c>
      <c r="L10" s="137"/>
      <c r="M10" s="138">
        <f t="shared" si="1"/>
        <v>97.205928008974055</v>
      </c>
      <c r="N10" s="138">
        <f t="shared" si="1"/>
        <v>97.205928008974055</v>
      </c>
      <c r="O10" s="139"/>
      <c r="P10" s="140">
        <f>(J10/G10)*100</f>
        <v>140.55948837365918</v>
      </c>
      <c r="Q10" s="138">
        <f>(K10/H10)*100</f>
        <v>140.55948837365918</v>
      </c>
      <c r="R10" s="139"/>
    </row>
    <row r="11" spans="1:18" s="141" customFormat="1" x14ac:dyDescent="0.25">
      <c r="A11" s="142" t="s">
        <v>119</v>
      </c>
      <c r="B11" s="135" t="s">
        <v>113</v>
      </c>
      <c r="C11" s="136" t="s">
        <v>120</v>
      </c>
      <c r="D11" s="137">
        <v>620.9</v>
      </c>
      <c r="E11" s="137">
        <f t="shared" si="2"/>
        <v>620.9</v>
      </c>
      <c r="F11" s="137"/>
      <c r="G11" s="137"/>
      <c r="H11" s="137"/>
      <c r="I11" s="137"/>
      <c r="J11" s="137">
        <v>417.66</v>
      </c>
      <c r="K11" s="137">
        <f t="shared" si="4"/>
        <v>417.66</v>
      </c>
      <c r="L11" s="137"/>
      <c r="M11" s="138">
        <f t="shared" si="1"/>
        <v>67.266870671605744</v>
      </c>
      <c r="N11" s="138">
        <f t="shared" si="1"/>
        <v>67.266870671605744</v>
      </c>
      <c r="O11" s="139"/>
      <c r="P11" s="140"/>
      <c r="Q11" s="138"/>
      <c r="R11" s="139"/>
    </row>
    <row r="12" spans="1:18" s="141" customFormat="1" ht="31.2" x14ac:dyDescent="0.25">
      <c r="A12" s="142" t="s">
        <v>121</v>
      </c>
      <c r="B12" s="135" t="s">
        <v>113</v>
      </c>
      <c r="C12" s="136" t="s">
        <v>122</v>
      </c>
      <c r="D12" s="137">
        <v>17614.72</v>
      </c>
      <c r="E12" s="137">
        <f t="shared" si="2"/>
        <v>17614.72</v>
      </c>
      <c r="F12" s="137"/>
      <c r="G12" s="137">
        <f>7852.3-907.2</f>
        <v>6945.1</v>
      </c>
      <c r="H12" s="137">
        <f t="shared" si="3"/>
        <v>6945.1</v>
      </c>
      <c r="I12" s="137"/>
      <c r="J12" s="137">
        <v>16298.16</v>
      </c>
      <c r="K12" s="137">
        <f t="shared" si="4"/>
        <v>16298.16</v>
      </c>
      <c r="L12" s="137"/>
      <c r="M12" s="138">
        <f t="shared" si="1"/>
        <v>92.525796606474572</v>
      </c>
      <c r="N12" s="138">
        <f t="shared" si="1"/>
        <v>92.525796606474572</v>
      </c>
      <c r="O12" s="139"/>
      <c r="P12" s="140">
        <f t="shared" ref="P12:Q14" si="5">(J12/G12)*100</f>
        <v>234.67135102446326</v>
      </c>
      <c r="Q12" s="138">
        <f t="shared" si="5"/>
        <v>234.67135102446326</v>
      </c>
      <c r="R12" s="139"/>
    </row>
    <row r="13" spans="1:18" s="141" customFormat="1" x14ac:dyDescent="0.25">
      <c r="A13" s="142" t="s">
        <v>123</v>
      </c>
      <c r="B13" s="135" t="s">
        <v>113</v>
      </c>
      <c r="C13" s="136" t="s">
        <v>124</v>
      </c>
      <c r="D13" s="137">
        <v>27121.98</v>
      </c>
      <c r="E13" s="137">
        <f t="shared" si="2"/>
        <v>27121.98</v>
      </c>
      <c r="F13" s="137"/>
      <c r="G13" s="137">
        <f>41503.8-26190.6</f>
        <v>15313.200000000004</v>
      </c>
      <c r="H13" s="137">
        <f t="shared" si="3"/>
        <v>15313.200000000004</v>
      </c>
      <c r="I13" s="137"/>
      <c r="J13" s="137">
        <v>0</v>
      </c>
      <c r="K13" s="137">
        <f t="shared" si="4"/>
        <v>0</v>
      </c>
      <c r="L13" s="137"/>
      <c r="M13" s="138">
        <f t="shared" si="1"/>
        <v>0</v>
      </c>
      <c r="N13" s="138">
        <f t="shared" si="1"/>
        <v>0</v>
      </c>
      <c r="O13" s="139"/>
      <c r="P13" s="140">
        <f t="shared" si="5"/>
        <v>0</v>
      </c>
      <c r="Q13" s="138">
        <f t="shared" si="5"/>
        <v>0</v>
      </c>
      <c r="R13" s="139"/>
    </row>
    <row r="14" spans="1:18" s="141" customFormat="1" x14ac:dyDescent="0.25">
      <c r="A14" s="142" t="s">
        <v>125</v>
      </c>
      <c r="B14" s="135" t="s">
        <v>113</v>
      </c>
      <c r="C14" s="136" t="s">
        <v>126</v>
      </c>
      <c r="D14" s="137">
        <v>480209.23</v>
      </c>
      <c r="E14" s="137">
        <f t="shared" si="2"/>
        <v>480209.23</v>
      </c>
      <c r="F14" s="137"/>
      <c r="G14" s="137">
        <f>308152.2-66465.9</f>
        <v>241686.30000000002</v>
      </c>
      <c r="H14" s="137">
        <f t="shared" si="3"/>
        <v>241649.30000000002</v>
      </c>
      <c r="I14" s="137">
        <v>37</v>
      </c>
      <c r="J14" s="137">
        <v>421846.31</v>
      </c>
      <c r="K14" s="137">
        <f t="shared" si="4"/>
        <v>421846.31</v>
      </c>
      <c r="L14" s="137"/>
      <c r="M14" s="138">
        <f t="shared" si="1"/>
        <v>87.846356056088297</v>
      </c>
      <c r="N14" s="138">
        <f t="shared" si="1"/>
        <v>87.846356056088297</v>
      </c>
      <c r="O14" s="139"/>
      <c r="P14" s="140">
        <f t="shared" si="5"/>
        <v>174.54291368604672</v>
      </c>
      <c r="Q14" s="138">
        <f t="shared" si="5"/>
        <v>174.56963872852103</v>
      </c>
      <c r="R14" s="139">
        <f>ROUND(L14/I14*100,1)</f>
        <v>0</v>
      </c>
    </row>
    <row r="15" spans="1:18" s="141" customFormat="1" ht="31.2" x14ac:dyDescent="0.25">
      <c r="A15" s="127" t="s">
        <v>127</v>
      </c>
      <c r="B15" s="128" t="s">
        <v>128</v>
      </c>
      <c r="C15" s="128" t="s">
        <v>114</v>
      </c>
      <c r="D15" s="129">
        <f t="shared" ref="D15:L15" si="6">SUM(D16:D18)</f>
        <v>110213.10999999999</v>
      </c>
      <c r="E15" s="129">
        <f t="shared" si="6"/>
        <v>110213.10999999999</v>
      </c>
      <c r="F15" s="129">
        <f t="shared" si="6"/>
        <v>0</v>
      </c>
      <c r="G15" s="129">
        <f>SUM(G16:G18)</f>
        <v>566186.19999999995</v>
      </c>
      <c r="H15" s="129">
        <f>SUM(H16:H18)</f>
        <v>566186.19999999995</v>
      </c>
      <c r="I15" s="129">
        <f>SUM(I16:I18)</f>
        <v>0</v>
      </c>
      <c r="J15" s="129">
        <f t="shared" si="6"/>
        <v>85163.72</v>
      </c>
      <c r="K15" s="129">
        <f t="shared" si="6"/>
        <v>85163.72</v>
      </c>
      <c r="L15" s="129">
        <f t="shared" si="6"/>
        <v>0</v>
      </c>
      <c r="M15" s="130">
        <f>SUM(J15/D15)*100</f>
        <v>77.271859944792425</v>
      </c>
      <c r="N15" s="130">
        <f>SUM(K15/E15)*100</f>
        <v>77.271859944792425</v>
      </c>
      <c r="O15" s="131">
        <v>0</v>
      </c>
      <c r="P15" s="132">
        <f>SUM(J15/G15)*100</f>
        <v>15.041645310323707</v>
      </c>
      <c r="Q15" s="130">
        <f>SUM(K15/H15)*100</f>
        <v>15.041645310323707</v>
      </c>
      <c r="R15" s="131">
        <v>0</v>
      </c>
    </row>
    <row r="16" spans="1:18" s="141" customFormat="1" x14ac:dyDescent="0.25">
      <c r="A16" s="134" t="s">
        <v>129</v>
      </c>
      <c r="B16" s="135" t="s">
        <v>128</v>
      </c>
      <c r="C16" s="136" t="s">
        <v>118</v>
      </c>
      <c r="D16" s="143">
        <v>24873.8</v>
      </c>
      <c r="E16" s="137">
        <f t="shared" si="2"/>
        <v>24873.8</v>
      </c>
      <c r="F16" s="143"/>
      <c r="G16" s="143">
        <f>699913.7-155694.1</f>
        <v>544219.6</v>
      </c>
      <c r="H16" s="137">
        <f t="shared" si="3"/>
        <v>544219.6</v>
      </c>
      <c r="I16" s="143"/>
      <c r="J16" s="137">
        <v>24847.4</v>
      </c>
      <c r="K16" s="137">
        <f t="shared" si="4"/>
        <v>24847.4</v>
      </c>
      <c r="L16" s="137"/>
      <c r="M16" s="138">
        <f t="shared" ref="M16:N18" si="7">(J16/D16)*100</f>
        <v>99.893864226615975</v>
      </c>
      <c r="N16" s="138">
        <f t="shared" si="7"/>
        <v>99.893864226615975</v>
      </c>
      <c r="O16" s="139"/>
      <c r="P16" s="140">
        <f>(J16/G16)*100</f>
        <v>4.565693701586639</v>
      </c>
      <c r="Q16" s="138">
        <f>(K16/H16)*100</f>
        <v>4.565693701586639</v>
      </c>
      <c r="R16" s="139"/>
    </row>
    <row r="17" spans="1:18" s="141" customFormat="1" ht="31.2" x14ac:dyDescent="0.25">
      <c r="A17" s="134" t="s">
        <v>130</v>
      </c>
      <c r="B17" s="135" t="s">
        <v>128</v>
      </c>
      <c r="C17" s="136" t="s">
        <v>131</v>
      </c>
      <c r="D17" s="143">
        <v>61209.1</v>
      </c>
      <c r="E17" s="137">
        <f t="shared" si="2"/>
        <v>61209.1</v>
      </c>
      <c r="F17" s="143"/>
      <c r="G17" s="143"/>
      <c r="H17" s="137"/>
      <c r="I17" s="143"/>
      <c r="J17" s="137">
        <v>46427.62</v>
      </c>
      <c r="K17" s="137">
        <f t="shared" si="4"/>
        <v>46427.62</v>
      </c>
      <c r="L17" s="137"/>
      <c r="M17" s="138">
        <f t="shared" si="7"/>
        <v>75.850845707582707</v>
      </c>
      <c r="N17" s="138">
        <f t="shared" si="7"/>
        <v>75.850845707582707</v>
      </c>
      <c r="O17" s="139"/>
      <c r="P17" s="140"/>
      <c r="Q17" s="138"/>
      <c r="R17" s="139"/>
    </row>
    <row r="18" spans="1:18" s="141" customFormat="1" ht="31.2" x14ac:dyDescent="0.25">
      <c r="A18" s="134" t="s">
        <v>132</v>
      </c>
      <c r="B18" s="135" t="s">
        <v>128</v>
      </c>
      <c r="C18" s="136" t="s">
        <v>133</v>
      </c>
      <c r="D18" s="143">
        <v>24130.21</v>
      </c>
      <c r="E18" s="137">
        <f t="shared" si="2"/>
        <v>24130.21</v>
      </c>
      <c r="F18" s="143"/>
      <c r="G18" s="143">
        <f>29154.7-7188.1</f>
        <v>21966.6</v>
      </c>
      <c r="H18" s="137">
        <f t="shared" si="3"/>
        <v>21966.6</v>
      </c>
      <c r="I18" s="143"/>
      <c r="J18" s="137">
        <v>13888.7</v>
      </c>
      <c r="K18" s="137">
        <f t="shared" si="4"/>
        <v>13888.7</v>
      </c>
      <c r="L18" s="137"/>
      <c r="M18" s="138">
        <f t="shared" si="7"/>
        <v>57.557310939274885</v>
      </c>
      <c r="N18" s="138">
        <f t="shared" si="7"/>
        <v>57.557310939274885</v>
      </c>
      <c r="O18" s="139"/>
      <c r="P18" s="140">
        <f>(J18/G18)*100</f>
        <v>63.22644378283394</v>
      </c>
      <c r="Q18" s="138">
        <f>(K18/H18)*100</f>
        <v>63.22644378283394</v>
      </c>
      <c r="R18" s="139"/>
    </row>
    <row r="19" spans="1:18" s="141" customFormat="1" x14ac:dyDescent="0.25">
      <c r="A19" s="127" t="s">
        <v>134</v>
      </c>
      <c r="B19" s="128" t="s">
        <v>118</v>
      </c>
      <c r="C19" s="128" t="s">
        <v>114</v>
      </c>
      <c r="D19" s="129">
        <f>SUM(D20:D25)</f>
        <v>1493461.52</v>
      </c>
      <c r="E19" s="129">
        <f t="shared" ref="E19:L19" si="8">SUM(E20:E25)</f>
        <v>1335051.75</v>
      </c>
      <c r="F19" s="129">
        <f t="shared" si="8"/>
        <v>158409.76999999999</v>
      </c>
      <c r="G19" s="129">
        <f t="shared" si="8"/>
        <v>18852.300000000003</v>
      </c>
      <c r="H19" s="129">
        <f t="shared" si="8"/>
        <v>13451.300000000001</v>
      </c>
      <c r="I19" s="129">
        <f t="shared" si="8"/>
        <v>5401</v>
      </c>
      <c r="J19" s="129">
        <f t="shared" si="8"/>
        <v>1420281.6400000001</v>
      </c>
      <c r="K19" s="129">
        <f t="shared" si="8"/>
        <v>1228680.1400000001</v>
      </c>
      <c r="L19" s="129">
        <f t="shared" si="8"/>
        <v>128829.93</v>
      </c>
      <c r="M19" s="130">
        <f>SUM(J19/D19)*100</f>
        <v>95.099982221168986</v>
      </c>
      <c r="N19" s="130">
        <f>SUM(K19/E19)*100</f>
        <v>92.032397995059</v>
      </c>
      <c r="O19" s="131">
        <f>SUM(L19/F19)*100</f>
        <v>81.327010322658765</v>
      </c>
      <c r="P19" s="132">
        <f>SUM(J19/G19)*100</f>
        <v>7533.731374951597</v>
      </c>
      <c r="Q19" s="130">
        <f>SUM(K19/H19)*100</f>
        <v>9134.2854593979773</v>
      </c>
      <c r="R19" s="131"/>
    </row>
    <row r="20" spans="1:18" s="151" customFormat="1" x14ac:dyDescent="0.25">
      <c r="A20" s="144" t="s">
        <v>135</v>
      </c>
      <c r="B20" s="145" t="s">
        <v>118</v>
      </c>
      <c r="C20" s="145" t="s">
        <v>113</v>
      </c>
      <c r="D20" s="146">
        <v>898.01</v>
      </c>
      <c r="E20" s="137">
        <f t="shared" si="2"/>
        <v>898.01</v>
      </c>
      <c r="F20" s="146"/>
      <c r="G20" s="146"/>
      <c r="H20" s="146"/>
      <c r="I20" s="146"/>
      <c r="J20" s="146">
        <v>898.01</v>
      </c>
      <c r="K20" s="137"/>
      <c r="L20" s="146"/>
      <c r="M20" s="138">
        <f t="shared" ref="M20:O25" si="9">(J20/D20)*100</f>
        <v>100</v>
      </c>
      <c r="N20" s="138">
        <f t="shared" si="9"/>
        <v>0</v>
      </c>
      <c r="O20" s="147"/>
      <c r="P20" s="148"/>
      <c r="Q20" s="149"/>
      <c r="R20" s="150"/>
    </row>
    <row r="21" spans="1:18" s="141" customFormat="1" x14ac:dyDescent="0.25">
      <c r="A21" s="142" t="s">
        <v>136</v>
      </c>
      <c r="B21" s="135" t="s">
        <v>118</v>
      </c>
      <c r="C21" s="136" t="s">
        <v>120</v>
      </c>
      <c r="D21" s="137">
        <v>61873.56</v>
      </c>
      <c r="E21" s="137">
        <f t="shared" si="2"/>
        <v>61873.56</v>
      </c>
      <c r="F21" s="137"/>
      <c r="G21" s="137">
        <f>2583.6</f>
        <v>2583.6</v>
      </c>
      <c r="H21" s="137">
        <f t="shared" si="3"/>
        <v>2583.6</v>
      </c>
      <c r="I21" s="137"/>
      <c r="J21" s="137">
        <v>61873.56</v>
      </c>
      <c r="K21" s="137"/>
      <c r="L21" s="137"/>
      <c r="M21" s="138">
        <f t="shared" si="9"/>
        <v>100</v>
      </c>
      <c r="N21" s="138">
        <f t="shared" si="9"/>
        <v>0</v>
      </c>
      <c r="O21" s="139"/>
      <c r="P21" s="140">
        <f t="shared" ref="P21:Q25" si="10">(J21/G21)*100</f>
        <v>2394.8583372039016</v>
      </c>
      <c r="Q21" s="138">
        <f t="shared" si="10"/>
        <v>0</v>
      </c>
      <c r="R21" s="139"/>
    </row>
    <row r="22" spans="1:18" s="141" customFormat="1" x14ac:dyDescent="0.25">
      <c r="A22" s="142" t="s">
        <v>137</v>
      </c>
      <c r="B22" s="135" t="s">
        <v>118</v>
      </c>
      <c r="C22" s="136" t="s">
        <v>138</v>
      </c>
      <c r="D22" s="137">
        <v>455955</v>
      </c>
      <c r="E22" s="137">
        <f t="shared" si="2"/>
        <v>455955</v>
      </c>
      <c r="F22" s="137"/>
      <c r="G22" s="137">
        <f>10534-5133</f>
        <v>5401</v>
      </c>
      <c r="H22" s="137">
        <f t="shared" si="3"/>
        <v>0</v>
      </c>
      <c r="I22" s="137">
        <f>10534-5133</f>
        <v>5401</v>
      </c>
      <c r="J22" s="137">
        <v>447555.78</v>
      </c>
      <c r="K22" s="137">
        <f t="shared" si="4"/>
        <v>447555.78</v>
      </c>
      <c r="L22" s="137"/>
      <c r="M22" s="138">
        <f t="shared" si="9"/>
        <v>98.157884001710698</v>
      </c>
      <c r="N22" s="138">
        <f t="shared" si="9"/>
        <v>98.157884001710698</v>
      </c>
      <c r="O22" s="139"/>
      <c r="P22" s="140">
        <f t="shared" si="10"/>
        <v>8286.5354563969649</v>
      </c>
      <c r="Q22" s="138">
        <v>0</v>
      </c>
      <c r="R22" s="139">
        <f>ROUND(L22/I22*100,1)</f>
        <v>0</v>
      </c>
    </row>
    <row r="23" spans="1:18" s="141" customFormat="1" x14ac:dyDescent="0.25">
      <c r="A23" s="142" t="s">
        <v>139</v>
      </c>
      <c r="B23" s="135" t="s">
        <v>118</v>
      </c>
      <c r="C23" s="136" t="s">
        <v>131</v>
      </c>
      <c r="D23" s="137">
        <v>895770.4</v>
      </c>
      <c r="E23" s="137">
        <f t="shared" si="2"/>
        <v>737360.63</v>
      </c>
      <c r="F23" s="137">
        <v>158409.76999999999</v>
      </c>
      <c r="G23" s="137"/>
      <c r="H23" s="137"/>
      <c r="I23" s="137"/>
      <c r="J23" s="137">
        <v>845107.42</v>
      </c>
      <c r="K23" s="137">
        <f t="shared" si="4"/>
        <v>716277.49</v>
      </c>
      <c r="L23" s="137">
        <v>128829.93</v>
      </c>
      <c r="M23" s="138">
        <f t="shared" si="9"/>
        <v>94.344200254886744</v>
      </c>
      <c r="N23" s="138">
        <f t="shared" si="9"/>
        <v>97.140728818136111</v>
      </c>
      <c r="O23" s="139">
        <f t="shared" si="9"/>
        <v>81.327010322658765</v>
      </c>
      <c r="P23" s="140"/>
      <c r="Q23" s="138"/>
      <c r="R23" s="139"/>
    </row>
    <row r="24" spans="1:18" s="141" customFormat="1" x14ac:dyDescent="0.25">
      <c r="A24" s="142" t="s">
        <v>140</v>
      </c>
      <c r="B24" s="135" t="s">
        <v>118</v>
      </c>
      <c r="C24" s="136" t="s">
        <v>141</v>
      </c>
      <c r="D24" s="137">
        <v>10050.799999999999</v>
      </c>
      <c r="E24" s="137">
        <f t="shared" si="2"/>
        <v>10050.799999999999</v>
      </c>
      <c r="F24" s="137"/>
      <c r="G24" s="137"/>
      <c r="H24" s="137"/>
      <c r="I24" s="137"/>
      <c r="J24" s="137">
        <v>10050.780000000001</v>
      </c>
      <c r="K24" s="137">
        <f t="shared" si="4"/>
        <v>10050.780000000001</v>
      </c>
      <c r="L24" s="137"/>
      <c r="M24" s="138">
        <f t="shared" si="9"/>
        <v>99.999801010864815</v>
      </c>
      <c r="N24" s="138">
        <f t="shared" si="9"/>
        <v>99.999801010864815</v>
      </c>
      <c r="O24" s="139"/>
      <c r="P24" s="140"/>
      <c r="Q24" s="138"/>
      <c r="R24" s="139"/>
    </row>
    <row r="25" spans="1:18" s="141" customFormat="1" x14ac:dyDescent="0.25">
      <c r="A25" s="142" t="s">
        <v>142</v>
      </c>
      <c r="B25" s="135" t="s">
        <v>118</v>
      </c>
      <c r="C25" s="136" t="s">
        <v>143</v>
      </c>
      <c r="D25" s="137">
        <v>68913.75</v>
      </c>
      <c r="E25" s="137">
        <f t="shared" si="2"/>
        <v>68913.75</v>
      </c>
      <c r="F25" s="137"/>
      <c r="G25" s="137">
        <f>15316.7-4449</f>
        <v>10867.7</v>
      </c>
      <c r="H25" s="137">
        <f t="shared" si="3"/>
        <v>10867.7</v>
      </c>
      <c r="I25" s="137"/>
      <c r="J25" s="137">
        <v>54796.09</v>
      </c>
      <c r="K25" s="137">
        <f t="shared" si="4"/>
        <v>54796.09</v>
      </c>
      <c r="L25" s="137"/>
      <c r="M25" s="138">
        <f t="shared" si="9"/>
        <v>79.514015708040844</v>
      </c>
      <c r="N25" s="138">
        <f t="shared" si="9"/>
        <v>79.514015708040844</v>
      </c>
      <c r="O25" s="139"/>
      <c r="P25" s="140">
        <f t="shared" si="10"/>
        <v>504.21055053047093</v>
      </c>
      <c r="Q25" s="138">
        <f t="shared" si="10"/>
        <v>504.21055053047093</v>
      </c>
      <c r="R25" s="139"/>
    </row>
    <row r="26" spans="1:18" s="141" customFormat="1" x14ac:dyDescent="0.25">
      <c r="A26" s="127" t="s">
        <v>144</v>
      </c>
      <c r="B26" s="128" t="s">
        <v>120</v>
      </c>
      <c r="C26" s="128" t="s">
        <v>114</v>
      </c>
      <c r="D26" s="129">
        <f t="shared" ref="D26:L26" si="11">SUM(D27:D30)</f>
        <v>1759387.9499999997</v>
      </c>
      <c r="E26" s="129">
        <f t="shared" si="11"/>
        <v>1077247.73</v>
      </c>
      <c r="F26" s="129">
        <f t="shared" si="11"/>
        <v>682140.22</v>
      </c>
      <c r="G26" s="129">
        <f>SUM(G27:G30)</f>
        <v>1419171.2999999998</v>
      </c>
      <c r="H26" s="129">
        <f>SUM(H27:H30)</f>
        <v>903762.89999999991</v>
      </c>
      <c r="I26" s="129">
        <f>SUM(I27:I30)</f>
        <v>515408.39999999997</v>
      </c>
      <c r="J26" s="129">
        <f t="shared" si="11"/>
        <v>1483360.1</v>
      </c>
      <c r="K26" s="129">
        <f t="shared" si="11"/>
        <v>965890.33000000007</v>
      </c>
      <c r="L26" s="129">
        <f t="shared" si="11"/>
        <v>517279.32</v>
      </c>
      <c r="M26" s="130">
        <f>SUM(J26/D26)*100</f>
        <v>84.311143542843993</v>
      </c>
      <c r="N26" s="130">
        <f>SUM(K26/E26)*100</f>
        <v>89.662786293362629</v>
      </c>
      <c r="O26" s="152">
        <f>ROUND(L26/F26*100,1)</f>
        <v>75.8</v>
      </c>
      <c r="P26" s="132">
        <f>SUM(J26/G26)*100</f>
        <v>104.52297759967387</v>
      </c>
      <c r="Q26" s="130">
        <f>SUM(K26/H26)*100</f>
        <v>106.87430630312444</v>
      </c>
      <c r="R26" s="131">
        <f>SUM(L26/I26)*100</f>
        <v>100.36299757629097</v>
      </c>
    </row>
    <row r="27" spans="1:18" s="154" customFormat="1" x14ac:dyDescent="0.25">
      <c r="A27" s="153" t="s">
        <v>145</v>
      </c>
      <c r="B27" s="135" t="s">
        <v>120</v>
      </c>
      <c r="C27" s="136" t="s">
        <v>113</v>
      </c>
      <c r="D27" s="143">
        <v>787647.61</v>
      </c>
      <c r="E27" s="137">
        <f t="shared" si="2"/>
        <v>766547.61</v>
      </c>
      <c r="F27" s="143">
        <v>21100</v>
      </c>
      <c r="G27" s="143">
        <f>732293.7-208085.1</f>
        <v>524208.6</v>
      </c>
      <c r="H27" s="137">
        <f t="shared" si="3"/>
        <v>322551.5</v>
      </c>
      <c r="I27" s="143">
        <f>279086.6-77429.5</f>
        <v>201657.09999999998</v>
      </c>
      <c r="J27" s="137">
        <v>731938.02</v>
      </c>
      <c r="K27" s="137">
        <f t="shared" si="4"/>
        <v>712608.44000000006</v>
      </c>
      <c r="L27" s="137">
        <v>19329.580000000002</v>
      </c>
      <c r="M27" s="138">
        <f t="shared" ref="M27:O30" si="12">(J27/D27)*100</f>
        <v>92.927092104043837</v>
      </c>
      <c r="N27" s="138">
        <f t="shared" si="12"/>
        <v>92.963363358474254</v>
      </c>
      <c r="O27" s="139">
        <f t="shared" si="12"/>
        <v>91.609383886255941</v>
      </c>
      <c r="P27" s="140">
        <f t="shared" ref="P27:Q30" si="13">(J27/G27)*100</f>
        <v>139.6272438109562</v>
      </c>
      <c r="Q27" s="138">
        <f t="shared" si="13"/>
        <v>220.92857729695879</v>
      </c>
      <c r="R27" s="139">
        <f>ROUND(L27/I27*100,1)</f>
        <v>9.6</v>
      </c>
    </row>
    <row r="28" spans="1:18" s="155" customFormat="1" x14ac:dyDescent="0.25">
      <c r="A28" s="142" t="s">
        <v>146</v>
      </c>
      <c r="B28" s="135" t="s">
        <v>120</v>
      </c>
      <c r="C28" s="136" t="s">
        <v>116</v>
      </c>
      <c r="D28" s="143">
        <v>775905.44</v>
      </c>
      <c r="E28" s="137">
        <f t="shared" si="2"/>
        <v>159660.66999999993</v>
      </c>
      <c r="F28" s="143">
        <v>616244.77</v>
      </c>
      <c r="G28" s="143">
        <f>512955.2-109671.6</f>
        <v>403283.6</v>
      </c>
      <c r="H28" s="137">
        <f t="shared" si="3"/>
        <v>100385.5</v>
      </c>
      <c r="I28" s="143">
        <f>403712.7-100814.6</f>
        <v>302898.09999999998</v>
      </c>
      <c r="J28" s="137">
        <v>575529.35</v>
      </c>
      <c r="K28" s="137">
        <f t="shared" si="4"/>
        <v>112135.37</v>
      </c>
      <c r="L28" s="137">
        <v>463393.98</v>
      </c>
      <c r="M28" s="138">
        <f t="shared" si="12"/>
        <v>74.175192018243877</v>
      </c>
      <c r="N28" s="138">
        <f t="shared" si="12"/>
        <v>70.233558458698724</v>
      </c>
      <c r="O28" s="139">
        <f t="shared" si="12"/>
        <v>75.196415865728156</v>
      </c>
      <c r="P28" s="140">
        <f t="shared" si="13"/>
        <v>142.71082434296858</v>
      </c>
      <c r="Q28" s="138">
        <f t="shared" si="13"/>
        <v>111.70474819570555</v>
      </c>
      <c r="R28" s="139">
        <f>ROUND(L28/I28*100,1)</f>
        <v>153</v>
      </c>
    </row>
    <row r="29" spans="1:18" s="155" customFormat="1" x14ac:dyDescent="0.25">
      <c r="A29" s="142" t="s">
        <v>147</v>
      </c>
      <c r="B29" s="135" t="s">
        <v>120</v>
      </c>
      <c r="C29" s="136" t="s">
        <v>128</v>
      </c>
      <c r="D29" s="143">
        <v>195437.15</v>
      </c>
      <c r="E29" s="137">
        <f>D29-F29</f>
        <v>150641.70000000001</v>
      </c>
      <c r="F29" s="143">
        <v>44795.45</v>
      </c>
      <c r="G29" s="143">
        <f>659134.5-167555.4</f>
        <v>491579.1</v>
      </c>
      <c r="H29" s="137">
        <f>G29-I29</f>
        <v>480725.89999999997</v>
      </c>
      <c r="I29" s="143">
        <f>45146.6-34293.4</f>
        <v>10853.199999999997</v>
      </c>
      <c r="J29" s="137">
        <v>175702.28</v>
      </c>
      <c r="K29" s="137">
        <f>J29-L29</f>
        <v>141146.51999999999</v>
      </c>
      <c r="L29" s="137">
        <v>34555.760000000002</v>
      </c>
      <c r="M29" s="138">
        <f t="shared" si="12"/>
        <v>89.90219106244642</v>
      </c>
      <c r="N29" s="138">
        <f t="shared" si="12"/>
        <v>93.696844897528365</v>
      </c>
      <c r="O29" s="139">
        <f t="shared" si="12"/>
        <v>77.141227513062162</v>
      </c>
      <c r="P29" s="140">
        <f t="shared" si="13"/>
        <v>35.742422735222064</v>
      </c>
      <c r="Q29" s="138">
        <f t="shared" si="13"/>
        <v>29.361122419241404</v>
      </c>
      <c r="R29" s="139">
        <f>ROUND(L29/I29*100,1)</f>
        <v>318.39999999999998</v>
      </c>
    </row>
    <row r="30" spans="1:18" s="155" customFormat="1" x14ac:dyDescent="0.25">
      <c r="A30" s="142" t="s">
        <v>148</v>
      </c>
      <c r="B30" s="135" t="s">
        <v>120</v>
      </c>
      <c r="C30" s="136" t="s">
        <v>120</v>
      </c>
      <c r="D30" s="143">
        <v>397.75</v>
      </c>
      <c r="E30" s="137">
        <f>D30-F30</f>
        <v>397.75</v>
      </c>
      <c r="F30" s="143"/>
      <c r="G30" s="143">
        <v>100</v>
      </c>
      <c r="H30" s="137">
        <f>G30-I30</f>
        <v>100</v>
      </c>
      <c r="I30" s="143"/>
      <c r="J30" s="137">
        <v>190.45</v>
      </c>
      <c r="K30" s="137"/>
      <c r="L30" s="137"/>
      <c r="M30" s="138">
        <f t="shared" si="12"/>
        <v>47.881835323695789</v>
      </c>
      <c r="N30" s="138">
        <f t="shared" si="12"/>
        <v>0</v>
      </c>
      <c r="O30" s="139"/>
      <c r="P30" s="140">
        <f t="shared" si="13"/>
        <v>190.45</v>
      </c>
      <c r="Q30" s="138">
        <f t="shared" si="13"/>
        <v>0</v>
      </c>
      <c r="R30" s="139"/>
    </row>
    <row r="31" spans="1:18" s="155" customFormat="1" x14ac:dyDescent="0.25">
      <c r="A31" s="127" t="s">
        <v>149</v>
      </c>
      <c r="B31" s="156" t="s">
        <v>122</v>
      </c>
      <c r="C31" s="156" t="s">
        <v>114</v>
      </c>
      <c r="D31" s="129">
        <f>D32</f>
        <v>2941.18</v>
      </c>
      <c r="E31" s="129">
        <f t="shared" ref="E31:L31" si="14">E32</f>
        <v>2775</v>
      </c>
      <c r="F31" s="129">
        <f t="shared" si="14"/>
        <v>166.18</v>
      </c>
      <c r="G31" s="129">
        <f t="shared" si="14"/>
        <v>3039.8</v>
      </c>
      <c r="H31" s="129">
        <f t="shared" si="14"/>
        <v>2942</v>
      </c>
      <c r="I31" s="129">
        <f t="shared" si="14"/>
        <v>97.8</v>
      </c>
      <c r="J31" s="129">
        <f t="shared" si="14"/>
        <v>2917.69</v>
      </c>
      <c r="K31" s="129">
        <f t="shared" si="14"/>
        <v>2751.51</v>
      </c>
      <c r="L31" s="129">
        <f t="shared" si="14"/>
        <v>166.18</v>
      </c>
      <c r="M31" s="130">
        <f t="shared" ref="M31:R31" si="15">SUM(J31/D31)*100</f>
        <v>99.201340958390858</v>
      </c>
      <c r="N31" s="130">
        <f t="shared" si="15"/>
        <v>99.153513513513531</v>
      </c>
      <c r="O31" s="131">
        <f t="shared" si="15"/>
        <v>100</v>
      </c>
      <c r="P31" s="132">
        <f t="shared" si="15"/>
        <v>3.2634167036775725</v>
      </c>
      <c r="Q31" s="130">
        <f t="shared" si="15"/>
        <v>3.3702757822404323</v>
      </c>
      <c r="R31" s="130">
        <f t="shared" si="15"/>
        <v>102.24948875255623</v>
      </c>
    </row>
    <row r="32" spans="1:18" s="155" customFormat="1" x14ac:dyDescent="0.25">
      <c r="A32" s="142" t="s">
        <v>150</v>
      </c>
      <c r="B32" s="135" t="s">
        <v>122</v>
      </c>
      <c r="C32" s="136" t="s">
        <v>120</v>
      </c>
      <c r="D32" s="143">
        <v>2941.18</v>
      </c>
      <c r="E32" s="137">
        <f t="shared" si="2"/>
        <v>2775</v>
      </c>
      <c r="F32" s="143">
        <v>166.18</v>
      </c>
      <c r="G32" s="143">
        <f>3697.8-658</f>
        <v>3039.8</v>
      </c>
      <c r="H32" s="137">
        <f t="shared" si="3"/>
        <v>2942</v>
      </c>
      <c r="I32" s="143">
        <f>97.8</f>
        <v>97.8</v>
      </c>
      <c r="J32" s="137">
        <v>2917.69</v>
      </c>
      <c r="K32" s="137">
        <f>J32-L32</f>
        <v>2751.51</v>
      </c>
      <c r="L32" s="137">
        <v>166.18</v>
      </c>
      <c r="M32" s="138">
        <f>(J32/D32)*100</f>
        <v>99.201340958390858</v>
      </c>
      <c r="N32" s="138">
        <f>(K32/E32)*100</f>
        <v>99.153513513513531</v>
      </c>
      <c r="O32" s="139">
        <f>(L32/F32)*100</f>
        <v>100</v>
      </c>
      <c r="P32" s="140">
        <f>(J32/G32)*100</f>
        <v>95.982959405224022</v>
      </c>
      <c r="Q32" s="138">
        <f>(K32/H32)*100</f>
        <v>93.525152957171997</v>
      </c>
      <c r="R32" s="139">
        <f>ROUND(L32/I32*100,1)</f>
        <v>169.9</v>
      </c>
    </row>
    <row r="33" spans="1:18" s="133" customFormat="1" x14ac:dyDescent="0.25">
      <c r="A33" s="127" t="s">
        <v>151</v>
      </c>
      <c r="B33" s="128" t="s">
        <v>152</v>
      </c>
      <c r="C33" s="128" t="s">
        <v>114</v>
      </c>
      <c r="D33" s="129">
        <f t="shared" ref="D33:L33" si="16">SUM(D34:D37)</f>
        <v>6496161.5099999998</v>
      </c>
      <c r="E33" s="129">
        <f t="shared" si="16"/>
        <v>6434365.6100000003</v>
      </c>
      <c r="F33" s="129">
        <f t="shared" si="16"/>
        <v>61795.9</v>
      </c>
      <c r="G33" s="129">
        <f>SUM(G34:G37)</f>
        <v>3476736.2000000007</v>
      </c>
      <c r="H33" s="129">
        <f>SUM(H34:H37)</f>
        <v>3194888.8000000003</v>
      </c>
      <c r="I33" s="129">
        <f>SUM(I34:I37)</f>
        <v>281847.40000000002</v>
      </c>
      <c r="J33" s="129">
        <f t="shared" si="16"/>
        <v>6413477</v>
      </c>
      <c r="K33" s="129">
        <f t="shared" si="16"/>
        <v>6366428.25</v>
      </c>
      <c r="L33" s="129">
        <f t="shared" si="16"/>
        <v>47048.75</v>
      </c>
      <c r="M33" s="130">
        <f>SUM(J33/D33)*100</f>
        <v>98.727178967568491</v>
      </c>
      <c r="N33" s="130">
        <f>SUM(K33/E33)*100</f>
        <v>98.944148279444761</v>
      </c>
      <c r="O33" s="152">
        <f>ROUND(L33/F33*100,1)</f>
        <v>76.099999999999994</v>
      </c>
      <c r="P33" s="132">
        <f>SUM(J33/G33)*100</f>
        <v>184.46832405633765</v>
      </c>
      <c r="Q33" s="130">
        <f>SUM(K33/H33)*100</f>
        <v>199.26916548707422</v>
      </c>
      <c r="R33" s="131">
        <f>SUM(L33/I33)*100</f>
        <v>16.692987056116181</v>
      </c>
    </row>
    <row r="34" spans="1:18" s="141" customFormat="1" x14ac:dyDescent="0.25">
      <c r="A34" s="142" t="s">
        <v>153</v>
      </c>
      <c r="B34" s="135" t="s">
        <v>152</v>
      </c>
      <c r="C34" s="136" t="s">
        <v>113</v>
      </c>
      <c r="D34" s="143">
        <v>2321385.52</v>
      </c>
      <c r="E34" s="137">
        <f t="shared" si="2"/>
        <v>2265885.52</v>
      </c>
      <c r="F34" s="143">
        <v>55500</v>
      </c>
      <c r="G34" s="143">
        <f>1697163.5-389309.7</f>
        <v>1307853.8</v>
      </c>
      <c r="H34" s="137">
        <f t="shared" si="3"/>
        <v>1079167</v>
      </c>
      <c r="I34" s="143">
        <f>234919.8-6233</f>
        <v>228686.8</v>
      </c>
      <c r="J34" s="137">
        <v>2281629.9500000002</v>
      </c>
      <c r="K34" s="137">
        <f t="shared" si="4"/>
        <v>2240876.75</v>
      </c>
      <c r="L34" s="137">
        <v>40753.199999999997</v>
      </c>
      <c r="M34" s="138">
        <f t="shared" ref="M34:O37" si="17">(J34/D34)*100</f>
        <v>98.287420609050756</v>
      </c>
      <c r="N34" s="138">
        <f t="shared" si="17"/>
        <v>98.896291547862489</v>
      </c>
      <c r="O34" s="139">
        <f t="shared" si="17"/>
        <v>73.429189189189188</v>
      </c>
      <c r="P34" s="140">
        <f t="shared" ref="P34:Q37" si="18">(J34/G34)*100</f>
        <v>174.45604011702227</v>
      </c>
      <c r="Q34" s="138">
        <f t="shared" si="18"/>
        <v>207.64874667220181</v>
      </c>
      <c r="R34" s="139">
        <f>ROUND(L34/I34*100,1)</f>
        <v>17.8</v>
      </c>
    </row>
    <row r="35" spans="1:18" s="141" customFormat="1" x14ac:dyDescent="0.25">
      <c r="A35" s="142" t="s">
        <v>154</v>
      </c>
      <c r="B35" s="135" t="s">
        <v>152</v>
      </c>
      <c r="C35" s="136" t="s">
        <v>116</v>
      </c>
      <c r="D35" s="143">
        <v>3995501</v>
      </c>
      <c r="E35" s="137">
        <f t="shared" si="2"/>
        <v>3989205.1</v>
      </c>
      <c r="F35" s="143">
        <v>6295.9</v>
      </c>
      <c r="G35" s="143">
        <f>2792394.5-742107.9</f>
        <v>2050286.6</v>
      </c>
      <c r="H35" s="137">
        <f t="shared" si="3"/>
        <v>1997126</v>
      </c>
      <c r="I35" s="143">
        <f>69262.6-16102</f>
        <v>53160.600000000006</v>
      </c>
      <c r="J35" s="137">
        <v>3959271.11</v>
      </c>
      <c r="K35" s="137">
        <f t="shared" si="4"/>
        <v>3952975.56</v>
      </c>
      <c r="L35" s="137">
        <v>6295.55</v>
      </c>
      <c r="M35" s="138">
        <f t="shared" si="17"/>
        <v>99.093232863663403</v>
      </c>
      <c r="N35" s="138">
        <f t="shared" si="17"/>
        <v>99.09181054641688</v>
      </c>
      <c r="O35" s="139">
        <f t="shared" si="17"/>
        <v>99.994440826569686</v>
      </c>
      <c r="P35" s="140">
        <f t="shared" si="18"/>
        <v>193.10817863219708</v>
      </c>
      <c r="Q35" s="138">
        <f t="shared" si="18"/>
        <v>197.93320801992465</v>
      </c>
      <c r="R35" s="139">
        <f>ROUND(L35/I35*100,1)</f>
        <v>11.8</v>
      </c>
    </row>
    <row r="36" spans="1:18" s="141" customFormat="1" x14ac:dyDescent="0.25">
      <c r="A36" s="142" t="s">
        <v>155</v>
      </c>
      <c r="B36" s="135" t="s">
        <v>152</v>
      </c>
      <c r="C36" s="136" t="s">
        <v>152</v>
      </c>
      <c r="D36" s="143">
        <v>106833.37</v>
      </c>
      <c r="E36" s="137">
        <f t="shared" si="2"/>
        <v>106833.37</v>
      </c>
      <c r="F36" s="143"/>
      <c r="G36" s="143">
        <f>75136.9-1221.3</f>
        <v>73915.599999999991</v>
      </c>
      <c r="H36" s="137">
        <f t="shared" si="3"/>
        <v>73915.599999999991</v>
      </c>
      <c r="I36" s="143"/>
      <c r="J36" s="137">
        <v>105040.34</v>
      </c>
      <c r="K36" s="137">
        <f t="shared" si="4"/>
        <v>105040.34</v>
      </c>
      <c r="L36" s="137"/>
      <c r="M36" s="138">
        <f t="shared" si="17"/>
        <v>98.321657362301679</v>
      </c>
      <c r="N36" s="138">
        <f t="shared" si="17"/>
        <v>98.321657362301679</v>
      </c>
      <c r="O36" s="139"/>
      <c r="P36" s="140">
        <f t="shared" si="18"/>
        <v>142.10848589472317</v>
      </c>
      <c r="Q36" s="138">
        <f t="shared" si="18"/>
        <v>142.10848589472317</v>
      </c>
      <c r="R36" s="139"/>
    </row>
    <row r="37" spans="1:18" s="133" customFormat="1" x14ac:dyDescent="0.25">
      <c r="A37" s="142" t="s">
        <v>156</v>
      </c>
      <c r="B37" s="135" t="s">
        <v>152</v>
      </c>
      <c r="C37" s="136" t="s">
        <v>131</v>
      </c>
      <c r="D37" s="143">
        <v>72441.62</v>
      </c>
      <c r="E37" s="137">
        <f t="shared" si="2"/>
        <v>72441.62</v>
      </c>
      <c r="F37" s="143"/>
      <c r="G37" s="143">
        <f>56534.5-11854.3</f>
        <v>44680.2</v>
      </c>
      <c r="H37" s="137">
        <f t="shared" si="3"/>
        <v>44680.2</v>
      </c>
      <c r="I37" s="143"/>
      <c r="J37" s="137">
        <v>67535.600000000006</v>
      </c>
      <c r="K37" s="137">
        <f t="shared" si="4"/>
        <v>67535.600000000006</v>
      </c>
      <c r="L37" s="137"/>
      <c r="M37" s="138">
        <f t="shared" si="17"/>
        <v>93.227622463440227</v>
      </c>
      <c r="N37" s="138">
        <f t="shared" si="17"/>
        <v>93.227622463440227</v>
      </c>
      <c r="O37" s="139"/>
      <c r="P37" s="140">
        <f t="shared" si="18"/>
        <v>151.15330728152517</v>
      </c>
      <c r="Q37" s="138">
        <f t="shared" si="18"/>
        <v>151.15330728152517</v>
      </c>
      <c r="R37" s="139"/>
    </row>
    <row r="38" spans="1:18" s="141" customFormat="1" x14ac:dyDescent="0.25">
      <c r="A38" s="127" t="s">
        <v>157</v>
      </c>
      <c r="B38" s="128" t="s">
        <v>138</v>
      </c>
      <c r="C38" s="128" t="s">
        <v>114</v>
      </c>
      <c r="D38" s="129">
        <f t="shared" ref="D38:L38" si="19">SUM(D39:D40)</f>
        <v>367649.13</v>
      </c>
      <c r="E38" s="129">
        <f t="shared" si="19"/>
        <v>365926.05</v>
      </c>
      <c r="F38" s="129">
        <f t="shared" si="19"/>
        <v>1723.08</v>
      </c>
      <c r="G38" s="129">
        <f t="shared" si="19"/>
        <v>189175.8</v>
      </c>
      <c r="H38" s="129">
        <f t="shared" si="19"/>
        <v>187934.8</v>
      </c>
      <c r="I38" s="129">
        <f t="shared" si="19"/>
        <v>1241</v>
      </c>
      <c r="J38" s="129">
        <f t="shared" si="19"/>
        <v>364586.94</v>
      </c>
      <c r="K38" s="129">
        <f t="shared" si="19"/>
        <v>362864.77</v>
      </c>
      <c r="L38" s="129">
        <f t="shared" si="19"/>
        <v>1722.17</v>
      </c>
      <c r="M38" s="130">
        <f>SUM(J38/D38)*100</f>
        <v>99.167089012287335</v>
      </c>
      <c r="N38" s="130">
        <f>SUM(K38/E38)*100</f>
        <v>99.16341566827505</v>
      </c>
      <c r="O38" s="152">
        <f>ROUND(L38/F38*100,1)</f>
        <v>99.9</v>
      </c>
      <c r="P38" s="132">
        <f>SUM(J38/G38)*100</f>
        <v>192.72387905852653</v>
      </c>
      <c r="Q38" s="130">
        <f>SUM(K38/H38)*100</f>
        <v>193.08013736678893</v>
      </c>
      <c r="R38" s="157">
        <v>0</v>
      </c>
    </row>
    <row r="39" spans="1:18" s="141" customFormat="1" x14ac:dyDescent="0.25">
      <c r="A39" s="142" t="s">
        <v>158</v>
      </c>
      <c r="B39" s="135" t="s">
        <v>138</v>
      </c>
      <c r="C39" s="136" t="s">
        <v>113</v>
      </c>
      <c r="D39" s="143">
        <v>364801.1</v>
      </c>
      <c r="E39" s="137">
        <f t="shared" si="2"/>
        <v>363078.01999999996</v>
      </c>
      <c r="F39" s="143">
        <v>1723.08</v>
      </c>
      <c r="G39" s="143">
        <f>255896.6-68646.8</f>
        <v>187249.8</v>
      </c>
      <c r="H39" s="137">
        <f t="shared" si="3"/>
        <v>186008.8</v>
      </c>
      <c r="I39" s="143">
        <f>7777-6536</f>
        <v>1241</v>
      </c>
      <c r="J39" s="137">
        <v>361739</v>
      </c>
      <c r="K39" s="137">
        <f t="shared" si="4"/>
        <v>360016.83</v>
      </c>
      <c r="L39" s="137">
        <v>1722.17</v>
      </c>
      <c r="M39" s="138">
        <f>ROUND(J39/D39*100,1)</f>
        <v>99.2</v>
      </c>
      <c r="N39" s="138">
        <f>ROUND(K39/E39*100,1)</f>
        <v>99.2</v>
      </c>
      <c r="O39" s="139">
        <f>(L39/F39)*100</f>
        <v>99.947187594307877</v>
      </c>
      <c r="P39" s="140">
        <f>(J39/G39)*100</f>
        <v>193.18525306836111</v>
      </c>
      <c r="Q39" s="138">
        <f>(K39/H39)*100</f>
        <v>193.54827836102379</v>
      </c>
      <c r="R39" s="139">
        <f>ROUND(L39/I39*100,1)</f>
        <v>138.80000000000001</v>
      </c>
    </row>
    <row r="40" spans="1:18" s="141" customFormat="1" x14ac:dyDescent="0.25">
      <c r="A40" s="142" t="s">
        <v>159</v>
      </c>
      <c r="B40" s="135" t="s">
        <v>138</v>
      </c>
      <c r="C40" s="136" t="s">
        <v>118</v>
      </c>
      <c r="D40" s="143">
        <v>2848.03</v>
      </c>
      <c r="E40" s="137">
        <f t="shared" si="2"/>
        <v>2848.03</v>
      </c>
      <c r="F40" s="143"/>
      <c r="G40" s="143">
        <f>2074-148</f>
        <v>1926</v>
      </c>
      <c r="H40" s="137">
        <f t="shared" si="3"/>
        <v>1926</v>
      </c>
      <c r="I40" s="143"/>
      <c r="J40" s="137">
        <v>2847.94</v>
      </c>
      <c r="K40" s="137">
        <f t="shared" si="4"/>
        <v>2847.94</v>
      </c>
      <c r="L40" s="137"/>
      <c r="M40" s="138">
        <f>ROUND(J40/D40*100,1)</f>
        <v>100</v>
      </c>
      <c r="N40" s="138">
        <f>ROUND(K40/E40*100,1)</f>
        <v>100</v>
      </c>
      <c r="O40" s="139"/>
      <c r="P40" s="140">
        <f>(J40/G40)*100</f>
        <v>147.86812045690553</v>
      </c>
      <c r="Q40" s="138">
        <f>(K40/H40)*100</f>
        <v>147.86812045690553</v>
      </c>
      <c r="R40" s="139"/>
    </row>
    <row r="41" spans="1:18" s="154" customFormat="1" x14ac:dyDescent="0.25">
      <c r="A41" s="127" t="s">
        <v>160</v>
      </c>
      <c r="B41" s="128" t="s">
        <v>131</v>
      </c>
      <c r="C41" s="128" t="s">
        <v>114</v>
      </c>
      <c r="D41" s="129">
        <f t="shared" ref="D41:L41" si="20">SUM(D42:D47)</f>
        <v>1078607.83</v>
      </c>
      <c r="E41" s="129">
        <f t="shared" si="20"/>
        <v>1078601.98</v>
      </c>
      <c r="F41" s="129">
        <f t="shared" si="20"/>
        <v>5.85</v>
      </c>
      <c r="G41" s="129">
        <f t="shared" si="20"/>
        <v>1406368.1</v>
      </c>
      <c r="H41" s="129">
        <f t="shared" si="20"/>
        <v>1402042.6</v>
      </c>
      <c r="I41" s="129">
        <f t="shared" si="20"/>
        <v>4325.5</v>
      </c>
      <c r="J41" s="129">
        <f t="shared" si="20"/>
        <v>1068952.52</v>
      </c>
      <c r="K41" s="129">
        <f t="shared" si="20"/>
        <v>1068946.68</v>
      </c>
      <c r="L41" s="129">
        <f t="shared" si="20"/>
        <v>5.84</v>
      </c>
      <c r="M41" s="130">
        <f>SUM(J41/D41)*100</f>
        <v>99.104835906855968</v>
      </c>
      <c r="N41" s="130">
        <f>SUM(K41/E41)*100</f>
        <v>99.104831978891781</v>
      </c>
      <c r="O41" s="131">
        <f>SUM(L41/F41)*100</f>
        <v>99.82905982905983</v>
      </c>
      <c r="P41" s="132">
        <f>SUM(J41/G41)*100</f>
        <v>76.008018099955478</v>
      </c>
      <c r="Q41" s="130">
        <f>SUM(K41/H41)*100</f>
        <v>76.242097066094843</v>
      </c>
      <c r="R41" s="157">
        <f>ROUND(L41/I41*100,1)</f>
        <v>0.1</v>
      </c>
    </row>
    <row r="42" spans="1:18" s="154" customFormat="1" x14ac:dyDescent="0.25">
      <c r="A42" s="142" t="s">
        <v>161</v>
      </c>
      <c r="B42" s="135" t="s">
        <v>131</v>
      </c>
      <c r="C42" s="136" t="s">
        <v>113</v>
      </c>
      <c r="D42" s="143">
        <v>295263.25</v>
      </c>
      <c r="E42" s="137">
        <f t="shared" si="2"/>
        <v>295263.25</v>
      </c>
      <c r="F42" s="143"/>
      <c r="G42" s="143">
        <f>685272.4-173578.7</f>
        <v>511693.7</v>
      </c>
      <c r="H42" s="137">
        <f t="shared" si="3"/>
        <v>511693.7</v>
      </c>
      <c r="I42" s="143"/>
      <c r="J42" s="137">
        <v>293454.83</v>
      </c>
      <c r="K42" s="137">
        <f t="shared" si="4"/>
        <v>293454.83</v>
      </c>
      <c r="L42" s="137"/>
      <c r="M42" s="138">
        <f t="shared" ref="M42:O47" si="21">(J42/D42)*100</f>
        <v>99.387522829204116</v>
      </c>
      <c r="N42" s="138">
        <f t="shared" si="21"/>
        <v>99.387522829204116</v>
      </c>
      <c r="O42" s="139"/>
      <c r="P42" s="140">
        <f t="shared" ref="P42:Q47" si="22">(J42/G42)*100</f>
        <v>57.349705497644401</v>
      </c>
      <c r="Q42" s="138">
        <f t="shared" si="22"/>
        <v>57.349705497644401</v>
      </c>
      <c r="R42" s="139"/>
    </row>
    <row r="43" spans="1:18" s="154" customFormat="1" x14ac:dyDescent="0.25">
      <c r="A43" s="142" t="s">
        <v>162</v>
      </c>
      <c r="B43" s="135" t="s">
        <v>131</v>
      </c>
      <c r="C43" s="136" t="s">
        <v>116</v>
      </c>
      <c r="D43" s="143">
        <v>400047.83</v>
      </c>
      <c r="E43" s="137">
        <f t="shared" si="2"/>
        <v>400047.83</v>
      </c>
      <c r="F43" s="143"/>
      <c r="G43" s="143">
        <f>982690.8-247510.4</f>
        <v>735180.4</v>
      </c>
      <c r="H43" s="137">
        <f t="shared" si="3"/>
        <v>735180.4</v>
      </c>
      <c r="I43" s="143"/>
      <c r="J43" s="137">
        <v>393989.84</v>
      </c>
      <c r="K43" s="137">
        <f t="shared" si="4"/>
        <v>393989.84</v>
      </c>
      <c r="L43" s="137"/>
      <c r="M43" s="138">
        <f t="shared" si="21"/>
        <v>98.485683574386599</v>
      </c>
      <c r="N43" s="138">
        <f t="shared" si="21"/>
        <v>98.485683574386599</v>
      </c>
      <c r="O43" s="139"/>
      <c r="P43" s="140">
        <f t="shared" si="22"/>
        <v>53.590906395219463</v>
      </c>
      <c r="Q43" s="138">
        <f t="shared" si="22"/>
        <v>53.590906395219463</v>
      </c>
      <c r="R43" s="139"/>
    </row>
    <row r="44" spans="1:18" s="154" customFormat="1" x14ac:dyDescent="0.25">
      <c r="A44" s="142" t="s">
        <v>163</v>
      </c>
      <c r="B44" s="135" t="s">
        <v>131</v>
      </c>
      <c r="C44" s="136" t="s">
        <v>128</v>
      </c>
      <c r="D44" s="143">
        <v>11834.96</v>
      </c>
      <c r="E44" s="137">
        <f t="shared" si="2"/>
        <v>11834.96</v>
      </c>
      <c r="F44" s="143"/>
      <c r="G44" s="143">
        <f>6462-1509</f>
        <v>4953</v>
      </c>
      <c r="H44" s="137">
        <f t="shared" si="3"/>
        <v>4953</v>
      </c>
      <c r="I44" s="143"/>
      <c r="J44" s="137">
        <v>11784.32</v>
      </c>
      <c r="K44" s="137">
        <f t="shared" si="4"/>
        <v>11784.32</v>
      </c>
      <c r="L44" s="137"/>
      <c r="M44" s="138">
        <f t="shared" si="21"/>
        <v>99.572115157127712</v>
      </c>
      <c r="N44" s="138">
        <f t="shared" si="21"/>
        <v>99.572115157127712</v>
      </c>
      <c r="O44" s="139"/>
      <c r="P44" s="140">
        <f t="shared" si="22"/>
        <v>237.9228750252372</v>
      </c>
      <c r="Q44" s="138">
        <f t="shared" si="22"/>
        <v>237.9228750252372</v>
      </c>
      <c r="R44" s="139"/>
    </row>
    <row r="45" spans="1:18" s="154" customFormat="1" x14ac:dyDescent="0.25">
      <c r="A45" s="142" t="s">
        <v>164</v>
      </c>
      <c r="B45" s="135" t="s">
        <v>131</v>
      </c>
      <c r="C45" s="136" t="s">
        <v>118</v>
      </c>
      <c r="D45" s="143">
        <v>325525.40000000002</v>
      </c>
      <c r="E45" s="137">
        <f t="shared" si="2"/>
        <v>325525.40000000002</v>
      </c>
      <c r="F45" s="143"/>
      <c r="G45" s="143">
        <f>173549-41241</f>
        <v>132308</v>
      </c>
      <c r="H45" s="137">
        <f t="shared" si="3"/>
        <v>132308</v>
      </c>
      <c r="I45" s="143"/>
      <c r="J45" s="137">
        <v>324730.14</v>
      </c>
      <c r="K45" s="137">
        <f t="shared" si="4"/>
        <v>324730.14</v>
      </c>
      <c r="L45" s="137"/>
      <c r="M45" s="138">
        <f t="shared" si="21"/>
        <v>99.755699555242074</v>
      </c>
      <c r="N45" s="138">
        <f t="shared" si="21"/>
        <v>99.755699555242074</v>
      </c>
      <c r="O45" s="139"/>
      <c r="P45" s="140">
        <f t="shared" si="22"/>
        <v>245.43500015116246</v>
      </c>
      <c r="Q45" s="138">
        <f t="shared" si="22"/>
        <v>245.43500015116246</v>
      </c>
      <c r="R45" s="139"/>
    </row>
    <row r="46" spans="1:18" s="154" customFormat="1" x14ac:dyDescent="0.25">
      <c r="A46" s="142" t="s">
        <v>165</v>
      </c>
      <c r="B46" s="135" t="s">
        <v>131</v>
      </c>
      <c r="C46" s="136" t="s">
        <v>152</v>
      </c>
      <c r="D46" s="143">
        <v>7129</v>
      </c>
      <c r="E46" s="137">
        <f t="shared" si="2"/>
        <v>7129</v>
      </c>
      <c r="F46" s="143"/>
      <c r="G46" s="143">
        <f>7624-2375</f>
        <v>5249</v>
      </c>
      <c r="H46" s="137">
        <f t="shared" si="3"/>
        <v>5249</v>
      </c>
      <c r="I46" s="143"/>
      <c r="J46" s="137">
        <v>7129</v>
      </c>
      <c r="K46" s="137">
        <f t="shared" si="4"/>
        <v>7129</v>
      </c>
      <c r="L46" s="137"/>
      <c r="M46" s="138">
        <f t="shared" si="21"/>
        <v>100</v>
      </c>
      <c r="N46" s="138">
        <f t="shared" si="21"/>
        <v>100</v>
      </c>
      <c r="O46" s="139"/>
      <c r="P46" s="140">
        <f t="shared" si="22"/>
        <v>135.81634597066108</v>
      </c>
      <c r="Q46" s="138">
        <f t="shared" si="22"/>
        <v>135.81634597066108</v>
      </c>
      <c r="R46" s="139"/>
    </row>
    <row r="47" spans="1:18" s="141" customFormat="1" x14ac:dyDescent="0.25">
      <c r="A47" s="142" t="s">
        <v>166</v>
      </c>
      <c r="B47" s="135" t="s">
        <v>131</v>
      </c>
      <c r="C47" s="136" t="s">
        <v>131</v>
      </c>
      <c r="D47" s="143">
        <v>38807.39</v>
      </c>
      <c r="E47" s="137">
        <f t="shared" si="2"/>
        <v>38801.54</v>
      </c>
      <c r="F47" s="143">
        <v>5.85</v>
      </c>
      <c r="G47" s="143">
        <f>27111.1-10127.1</f>
        <v>16984</v>
      </c>
      <c r="H47" s="137">
        <f t="shared" si="3"/>
        <v>12658.5</v>
      </c>
      <c r="I47" s="143">
        <f>4325.5</f>
        <v>4325.5</v>
      </c>
      <c r="J47" s="137">
        <v>37864.39</v>
      </c>
      <c r="K47" s="137">
        <f t="shared" si="4"/>
        <v>37858.550000000003</v>
      </c>
      <c r="L47" s="137">
        <v>5.84</v>
      </c>
      <c r="M47" s="138">
        <f t="shared" si="21"/>
        <v>97.570050446577312</v>
      </c>
      <c r="N47" s="138">
        <f t="shared" si="21"/>
        <v>97.569709862031246</v>
      </c>
      <c r="O47" s="139">
        <f t="shared" si="21"/>
        <v>99.82905982905983</v>
      </c>
      <c r="P47" s="140">
        <f t="shared" si="22"/>
        <v>222.94153320772492</v>
      </c>
      <c r="Q47" s="138">
        <f t="shared" si="22"/>
        <v>299.07611486353045</v>
      </c>
      <c r="R47" s="139">
        <f>ROUND(L47/I47*100,1)</f>
        <v>0.1</v>
      </c>
    </row>
    <row r="48" spans="1:18" s="141" customFormat="1" x14ac:dyDescent="0.25">
      <c r="A48" s="127" t="s">
        <v>167</v>
      </c>
      <c r="B48" s="158">
        <v>10</v>
      </c>
      <c r="C48" s="128" t="s">
        <v>114</v>
      </c>
      <c r="D48" s="129">
        <f t="shared" ref="D48:L48" si="23">SUM(D49:D52)</f>
        <v>847881.2</v>
      </c>
      <c r="E48" s="129">
        <f t="shared" si="23"/>
        <v>847881.2</v>
      </c>
      <c r="F48" s="129">
        <f>SUM(F49:F52)</f>
        <v>0</v>
      </c>
      <c r="G48" s="129">
        <f>SUM(G49:G52)</f>
        <v>585312.5</v>
      </c>
      <c r="H48" s="129">
        <f>SUM(H49:H52)</f>
        <v>585312.5</v>
      </c>
      <c r="I48" s="129">
        <f>SUM(I49:I52)</f>
        <v>0</v>
      </c>
      <c r="J48" s="129">
        <f t="shared" si="23"/>
        <v>728946.9800000001</v>
      </c>
      <c r="K48" s="129">
        <f t="shared" si="23"/>
        <v>728946.9800000001</v>
      </c>
      <c r="L48" s="129">
        <f t="shared" si="23"/>
        <v>0</v>
      </c>
      <c r="M48" s="130">
        <f>SUM(J48/D48)*100</f>
        <v>85.972773072454032</v>
      </c>
      <c r="N48" s="130">
        <f>SUM(K48/E48)*100</f>
        <v>85.972773072454032</v>
      </c>
      <c r="O48" s="159"/>
      <c r="P48" s="132">
        <f>SUM(J48/G48)*100</f>
        <v>124.53979369994663</v>
      </c>
      <c r="Q48" s="130">
        <f>SUM(K48/H48)*100</f>
        <v>124.53979369994663</v>
      </c>
      <c r="R48" s="131">
        <v>0</v>
      </c>
    </row>
    <row r="49" spans="1:18" s="141" customFormat="1" x14ac:dyDescent="0.25">
      <c r="A49" s="160" t="s">
        <v>168</v>
      </c>
      <c r="B49" s="161">
        <v>10</v>
      </c>
      <c r="C49" s="162" t="s">
        <v>113</v>
      </c>
      <c r="D49" s="143">
        <v>10178.200000000001</v>
      </c>
      <c r="E49" s="137">
        <f t="shared" si="2"/>
        <v>10178.200000000001</v>
      </c>
      <c r="F49" s="137"/>
      <c r="G49" s="143">
        <f>3968.4-968.4</f>
        <v>3000</v>
      </c>
      <c r="H49" s="137">
        <f t="shared" si="3"/>
        <v>3000</v>
      </c>
      <c r="I49" s="137"/>
      <c r="J49" s="137">
        <v>9977.17</v>
      </c>
      <c r="K49" s="137">
        <f t="shared" si="4"/>
        <v>9977.17</v>
      </c>
      <c r="L49" s="137"/>
      <c r="M49" s="138">
        <f t="shared" ref="M49:N57" si="24">(J49/D49)*100</f>
        <v>98.024896347094767</v>
      </c>
      <c r="N49" s="138">
        <f t="shared" si="24"/>
        <v>98.024896347094767</v>
      </c>
      <c r="O49" s="139"/>
      <c r="P49" s="140">
        <f t="shared" ref="P49:Q52" si="25">(J49/G49)*100</f>
        <v>332.57233333333335</v>
      </c>
      <c r="Q49" s="138">
        <f t="shared" si="25"/>
        <v>332.57233333333335</v>
      </c>
      <c r="R49" s="139"/>
    </row>
    <row r="50" spans="1:18" s="141" customFormat="1" x14ac:dyDescent="0.25">
      <c r="A50" s="163" t="s">
        <v>169</v>
      </c>
      <c r="B50" s="164">
        <v>10</v>
      </c>
      <c r="C50" s="135" t="s">
        <v>128</v>
      </c>
      <c r="D50" s="143">
        <v>281724.34999999998</v>
      </c>
      <c r="E50" s="137">
        <f t="shared" si="2"/>
        <v>281724.34999999998</v>
      </c>
      <c r="F50" s="165"/>
      <c r="G50" s="143">
        <f>213109.7</f>
        <v>213109.7</v>
      </c>
      <c r="H50" s="137">
        <f t="shared" si="3"/>
        <v>213109.7</v>
      </c>
      <c r="I50" s="165"/>
      <c r="J50" s="137">
        <v>206000.63</v>
      </c>
      <c r="K50" s="137">
        <f t="shared" si="4"/>
        <v>206000.63</v>
      </c>
      <c r="L50" s="166"/>
      <c r="M50" s="138">
        <f t="shared" si="24"/>
        <v>73.121343611228511</v>
      </c>
      <c r="N50" s="138">
        <f t="shared" si="24"/>
        <v>73.121343611228511</v>
      </c>
      <c r="O50" s="139"/>
      <c r="P50" s="140">
        <f t="shared" si="25"/>
        <v>96.664126503861624</v>
      </c>
      <c r="Q50" s="138">
        <f t="shared" si="25"/>
        <v>96.664126503861624</v>
      </c>
      <c r="R50" s="139"/>
    </row>
    <row r="51" spans="1:18" s="141" customFormat="1" x14ac:dyDescent="0.25">
      <c r="A51" s="142" t="s">
        <v>170</v>
      </c>
      <c r="B51" s="167">
        <v>10</v>
      </c>
      <c r="C51" s="136" t="s">
        <v>118</v>
      </c>
      <c r="D51" s="143">
        <v>429822.9</v>
      </c>
      <c r="E51" s="137">
        <f t="shared" si="2"/>
        <v>429822.9</v>
      </c>
      <c r="F51" s="143"/>
      <c r="G51" s="143">
        <f>321588.7-76204.7</f>
        <v>245384</v>
      </c>
      <c r="H51" s="137">
        <f t="shared" si="3"/>
        <v>245384</v>
      </c>
      <c r="I51" s="143"/>
      <c r="J51" s="137">
        <v>386909.4</v>
      </c>
      <c r="K51" s="137">
        <f t="shared" si="4"/>
        <v>386909.4</v>
      </c>
      <c r="L51" s="137"/>
      <c r="M51" s="138">
        <f t="shared" si="24"/>
        <v>90.01600426594301</v>
      </c>
      <c r="N51" s="138">
        <f t="shared" si="24"/>
        <v>90.01600426594301</v>
      </c>
      <c r="O51" s="139"/>
      <c r="P51" s="140">
        <f t="shared" si="25"/>
        <v>157.67507253936688</v>
      </c>
      <c r="Q51" s="138">
        <f t="shared" si="25"/>
        <v>157.67507253936688</v>
      </c>
      <c r="R51" s="139"/>
    </row>
    <row r="52" spans="1:18" s="141" customFormat="1" x14ac:dyDescent="0.25">
      <c r="A52" s="168" t="s">
        <v>171</v>
      </c>
      <c r="B52" s="169">
        <v>10</v>
      </c>
      <c r="C52" s="170" t="s">
        <v>122</v>
      </c>
      <c r="D52" s="171">
        <v>126155.75</v>
      </c>
      <c r="E52" s="172">
        <f t="shared" si="2"/>
        <v>126155.75</v>
      </c>
      <c r="F52" s="171"/>
      <c r="G52" s="171">
        <f>140248.3-16429.5</f>
        <v>123818.79999999999</v>
      </c>
      <c r="H52" s="172">
        <f t="shared" si="3"/>
        <v>123818.79999999999</v>
      </c>
      <c r="I52" s="171"/>
      <c r="J52" s="172">
        <v>126059.78</v>
      </c>
      <c r="K52" s="172">
        <f t="shared" si="4"/>
        <v>126059.78</v>
      </c>
      <c r="L52" s="172"/>
      <c r="M52" s="173">
        <f t="shared" si="24"/>
        <v>99.923927367559543</v>
      </c>
      <c r="N52" s="173">
        <f t="shared" si="24"/>
        <v>99.923927367559543</v>
      </c>
      <c r="O52" s="174"/>
      <c r="P52" s="140">
        <f t="shared" si="25"/>
        <v>101.80988670541147</v>
      </c>
      <c r="Q52" s="138">
        <f t="shared" si="25"/>
        <v>101.80988670541147</v>
      </c>
      <c r="R52" s="174"/>
    </row>
    <row r="53" spans="1:18" s="141" customFormat="1" x14ac:dyDescent="0.25">
      <c r="A53" s="175" t="s">
        <v>172</v>
      </c>
      <c r="B53" s="158">
        <v>11</v>
      </c>
      <c r="C53" s="128" t="s">
        <v>114</v>
      </c>
      <c r="D53" s="176">
        <f>D54+D55</f>
        <v>155026.13999999998</v>
      </c>
      <c r="E53" s="176">
        <f t="shared" ref="E53:L53" si="26">E54+E55</f>
        <v>74170.859999999986</v>
      </c>
      <c r="F53" s="176">
        <f t="shared" si="26"/>
        <v>80855.28</v>
      </c>
      <c r="G53" s="176">
        <f t="shared" si="26"/>
        <v>0</v>
      </c>
      <c r="H53" s="176">
        <f t="shared" si="26"/>
        <v>0</v>
      </c>
      <c r="I53" s="176">
        <f t="shared" si="26"/>
        <v>0</v>
      </c>
      <c r="J53" s="176">
        <f t="shared" si="26"/>
        <v>151374.33000000002</v>
      </c>
      <c r="K53" s="176">
        <f t="shared" si="26"/>
        <v>74151.12</v>
      </c>
      <c r="L53" s="176">
        <f t="shared" si="26"/>
        <v>77223.210000000006</v>
      </c>
      <c r="M53" s="177">
        <f t="shared" si="24"/>
        <v>97.644390810478825</v>
      </c>
      <c r="N53" s="177">
        <f t="shared" si="24"/>
        <v>99.973385774413302</v>
      </c>
      <c r="O53" s="152">
        <f>ROUND(L53/F53*100,1)</f>
        <v>95.5</v>
      </c>
      <c r="P53" s="178"/>
      <c r="Q53" s="179"/>
      <c r="R53" s="180"/>
    </row>
    <row r="54" spans="1:18" s="141" customFormat="1" x14ac:dyDescent="0.25">
      <c r="A54" s="181" t="s">
        <v>173</v>
      </c>
      <c r="B54" s="182">
        <v>11</v>
      </c>
      <c r="C54" s="145" t="s">
        <v>113</v>
      </c>
      <c r="D54" s="143">
        <v>44276.85</v>
      </c>
      <c r="E54" s="172">
        <f t="shared" si="2"/>
        <v>44276.85</v>
      </c>
      <c r="F54" s="143"/>
      <c r="G54" s="143"/>
      <c r="H54" s="137"/>
      <c r="I54" s="143"/>
      <c r="J54" s="137">
        <v>44261.98</v>
      </c>
      <c r="K54" s="172">
        <f t="shared" si="4"/>
        <v>44261.98</v>
      </c>
      <c r="L54" s="137"/>
      <c r="M54" s="183">
        <f t="shared" si="24"/>
        <v>99.966415858400055</v>
      </c>
      <c r="N54" s="183">
        <f t="shared" si="24"/>
        <v>99.966415858400055</v>
      </c>
      <c r="O54" s="147"/>
      <c r="P54" s="178"/>
      <c r="Q54" s="179"/>
      <c r="R54" s="180"/>
    </row>
    <row r="55" spans="1:18" s="141" customFormat="1" x14ac:dyDescent="0.25">
      <c r="A55" s="181" t="s">
        <v>174</v>
      </c>
      <c r="B55" s="182">
        <v>11</v>
      </c>
      <c r="C55" s="145" t="s">
        <v>116</v>
      </c>
      <c r="D55" s="143">
        <v>110749.29</v>
      </c>
      <c r="E55" s="172">
        <f t="shared" si="2"/>
        <v>29894.009999999995</v>
      </c>
      <c r="F55" s="143">
        <v>80855.28</v>
      </c>
      <c r="G55" s="143"/>
      <c r="H55" s="137"/>
      <c r="I55" s="143"/>
      <c r="J55" s="137">
        <v>107112.35</v>
      </c>
      <c r="K55" s="172">
        <f t="shared" si="4"/>
        <v>29889.14</v>
      </c>
      <c r="L55" s="137">
        <v>77223.210000000006</v>
      </c>
      <c r="M55" s="183">
        <f t="shared" si="24"/>
        <v>96.716060211311529</v>
      </c>
      <c r="N55" s="183">
        <f t="shared" si="24"/>
        <v>99.983709110955687</v>
      </c>
      <c r="O55" s="147">
        <f>ROUND(L55/F55*100,1)</f>
        <v>95.5</v>
      </c>
      <c r="P55" s="178"/>
      <c r="Q55" s="179"/>
      <c r="R55" s="180"/>
    </row>
    <row r="56" spans="1:18" s="141" customFormat="1" x14ac:dyDescent="0.25">
      <c r="A56" s="175" t="s">
        <v>175</v>
      </c>
      <c r="B56" s="158">
        <v>12</v>
      </c>
      <c r="C56" s="128" t="s">
        <v>114</v>
      </c>
      <c r="D56" s="176">
        <f>D57</f>
        <v>11786.76</v>
      </c>
      <c r="E56" s="176">
        <f>E57</f>
        <v>11786.76</v>
      </c>
      <c r="F56" s="176">
        <f>F57</f>
        <v>0</v>
      </c>
      <c r="G56" s="176" t="e">
        <f>G57+#REF!</f>
        <v>#REF!</v>
      </c>
      <c r="H56" s="176" t="e">
        <f>H57+#REF!</f>
        <v>#REF!</v>
      </c>
      <c r="I56" s="176" t="e">
        <f>I57+#REF!</f>
        <v>#REF!</v>
      </c>
      <c r="J56" s="176">
        <f>J57</f>
        <v>11314.26</v>
      </c>
      <c r="K56" s="176">
        <f>K57</f>
        <v>11314.26</v>
      </c>
      <c r="L56" s="176">
        <f>L57</f>
        <v>0</v>
      </c>
      <c r="M56" s="177">
        <f t="shared" si="24"/>
        <v>95.991264775052684</v>
      </c>
      <c r="N56" s="177">
        <f t="shared" si="24"/>
        <v>95.991264775052684</v>
      </c>
      <c r="O56" s="152"/>
      <c r="P56" s="178"/>
      <c r="Q56" s="179"/>
      <c r="R56" s="180"/>
    </row>
    <row r="57" spans="1:18" s="141" customFormat="1" ht="16.2" thickBot="1" x14ac:dyDescent="0.3">
      <c r="A57" s="142" t="s">
        <v>176</v>
      </c>
      <c r="B57" s="167">
        <v>12</v>
      </c>
      <c r="C57" s="136" t="s">
        <v>116</v>
      </c>
      <c r="D57" s="143">
        <v>11786.76</v>
      </c>
      <c r="E57" s="172">
        <f t="shared" si="2"/>
        <v>11786.76</v>
      </c>
      <c r="F57" s="143"/>
      <c r="G57" s="143"/>
      <c r="H57" s="137"/>
      <c r="I57" s="143"/>
      <c r="J57" s="137">
        <v>11314.26</v>
      </c>
      <c r="K57" s="172">
        <f t="shared" si="4"/>
        <v>11314.26</v>
      </c>
      <c r="L57" s="137"/>
      <c r="M57" s="173">
        <f t="shared" si="24"/>
        <v>95.991264775052684</v>
      </c>
      <c r="N57" s="173">
        <f t="shared" si="24"/>
        <v>95.991264775052684</v>
      </c>
      <c r="O57" s="139"/>
      <c r="P57" s="178"/>
      <c r="Q57" s="179"/>
      <c r="R57" s="180"/>
    </row>
    <row r="58" spans="1:18" s="141" customFormat="1" ht="16.2" thickBot="1" x14ac:dyDescent="0.3">
      <c r="A58" s="184" t="s">
        <v>177</v>
      </c>
      <c r="B58" s="185"/>
      <c r="C58" s="185"/>
      <c r="D58" s="186">
        <f>D48+D41+D38+D33+D26+D19+D15+D8+D31+D53+D56</f>
        <v>13718051.059999999</v>
      </c>
      <c r="E58" s="186">
        <f t="shared" ref="E58:L58" si="27">E48+E41+E38+E33+E26+E19+E15+E8+E31+E53+E56</f>
        <v>12732954.779999999</v>
      </c>
      <c r="F58" s="186">
        <f t="shared" si="27"/>
        <v>985096.28</v>
      </c>
      <c r="G58" s="186" t="e">
        <f t="shared" si="27"/>
        <v>#REF!</v>
      </c>
      <c r="H58" s="186" t="e">
        <f t="shared" si="27"/>
        <v>#REF!</v>
      </c>
      <c r="I58" s="186" t="e">
        <f t="shared" si="27"/>
        <v>#REF!</v>
      </c>
      <c r="J58" s="186">
        <f t="shared" si="27"/>
        <v>13014208.76</v>
      </c>
      <c r="K58" s="186">
        <f t="shared" si="27"/>
        <v>12178971.34</v>
      </c>
      <c r="L58" s="186">
        <f t="shared" si="27"/>
        <v>772275.4</v>
      </c>
      <c r="M58" s="187">
        <f>SUM(J58/D58)*100</f>
        <v>94.869225249843907</v>
      </c>
      <c r="N58" s="187">
        <f>SUM(K58/E58)*100</f>
        <v>95.649215366175994</v>
      </c>
      <c r="O58" s="188">
        <f>SUM(L58/F58)*100</f>
        <v>78.39593100483539</v>
      </c>
      <c r="P58" s="189" t="e">
        <f>SUM(J58/G58)*100</f>
        <v>#REF!</v>
      </c>
      <c r="Q58" s="187" t="e">
        <f>SUM(K58/H58)*100</f>
        <v>#REF!</v>
      </c>
      <c r="R58" s="188" t="e">
        <f>SUM(L58/I58)*100</f>
        <v>#REF!</v>
      </c>
    </row>
    <row r="59" spans="1:18" s="155" customFormat="1" x14ac:dyDescent="0.25">
      <c r="A59" s="100"/>
      <c r="B59" s="100"/>
      <c r="C59" s="190"/>
      <c r="D59" s="190"/>
      <c r="E59" s="191"/>
      <c r="F59" s="190"/>
      <c r="G59" s="190"/>
      <c r="H59" s="190"/>
      <c r="I59" s="190"/>
      <c r="J59" s="190"/>
      <c r="K59" s="190"/>
      <c r="L59" s="190"/>
      <c r="M59" s="192"/>
      <c r="N59" s="192"/>
      <c r="O59" s="192"/>
      <c r="P59" s="192"/>
      <c r="Q59" s="192"/>
      <c r="R59" s="192"/>
    </row>
    <row r="60" spans="1:18" x14ac:dyDescent="0.3">
      <c r="D60" s="194"/>
      <c r="F60" s="195"/>
      <c r="G60" s="195"/>
      <c r="H60" s="195"/>
      <c r="I60" s="195"/>
      <c r="J60" s="196"/>
      <c r="K60" s="195"/>
      <c r="L60" s="195"/>
      <c r="M60" s="195"/>
      <c r="N60" s="195"/>
      <c r="P60" s="195"/>
      <c r="Q60" s="195"/>
    </row>
    <row r="64" spans="1:18" x14ac:dyDescent="0.3">
      <c r="F64" s="198"/>
      <c r="G64" s="198"/>
      <c r="H64" s="198"/>
      <c r="I64" s="198"/>
      <c r="J64" s="198"/>
      <c r="K64" s="198"/>
    </row>
  </sheetData>
  <mergeCells count="20">
    <mergeCell ref="Q5:R5"/>
    <mergeCell ref="P4:R4"/>
    <mergeCell ref="D5:D6"/>
    <mergeCell ref="E5:F5"/>
    <mergeCell ref="G5:G6"/>
    <mergeCell ref="H5:I5"/>
    <mergeCell ref="J5:J6"/>
    <mergeCell ref="K5:L5"/>
    <mergeCell ref="M5:M6"/>
    <mergeCell ref="N5:O5"/>
    <mergeCell ref="P5:P6"/>
    <mergeCell ref="A1:O1"/>
    <mergeCell ref="A2:O2"/>
    <mergeCell ref="A4:A6"/>
    <mergeCell ref="B4:B6"/>
    <mergeCell ref="C4:C6"/>
    <mergeCell ref="D4:F4"/>
    <mergeCell ref="G4:I4"/>
    <mergeCell ref="J4:L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Company>Управление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Куклина Светланан Николаевна</cp:lastModifiedBy>
  <cp:lastPrinted>2013-01-18T09:35:48Z</cp:lastPrinted>
  <dcterms:created xsi:type="dcterms:W3CDTF">2007-07-04T09:57:04Z</dcterms:created>
  <dcterms:modified xsi:type="dcterms:W3CDTF">2015-02-25T05:33:44Z</dcterms:modified>
</cp:coreProperties>
</file>