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7776" activeTab="1"/>
  </bookViews>
  <sheets>
    <sheet name="доходы" sheetId="1" r:id="rId1"/>
    <sheet name="расходы" sheetId="2" r:id="rId2"/>
  </sheets>
  <definedNames>
    <definedName name="Z_953F6272_BCBA_4E2A_B324_315CAA91D0DC_.wvu.Rows" localSheetId="0" hidden="1">'доходы'!$34:$34,'доходы'!#REF!,'доходы'!#REF!,'доходы'!#REF!,'доходы'!#REF!,'доходы'!#REF!</definedName>
    <definedName name="Z_B47CF732_6E85_4D8F_B03C_89DA2ED89ADF_.wvu.Cols" localSheetId="0" hidden="1">'доходы'!#REF!</definedName>
    <definedName name="Z_C425BA00_210C_48C2_AB7C_A6B940491DCD_.wvu.Rows" localSheetId="0" hidden="1">'доходы'!$34:$34,'доходы'!#REF!,'доходы'!#REF!,'доходы'!#REF!,'доходы'!#REF!,'доходы'!#REF!</definedName>
  </definedNames>
  <calcPr fullCalcOnLoad="1"/>
</workbook>
</file>

<file path=xl/sharedStrings.xml><?xml version="1.0" encoding="utf-8"?>
<sst xmlns="http://schemas.openxmlformats.org/spreadsheetml/2006/main" count="259" uniqueCount="169">
  <si>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</si>
  <si>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040 2 19 04000 04 0000 180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</si>
  <si>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</si>
  <si>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</si>
  <si>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040 2 02 0000 00 0000 151</t>
  </si>
  <si>
    <t>040 2 02 01000 00 0000 151</t>
  </si>
  <si>
    <t>040 2 02 02000 00 0000 151</t>
  </si>
  <si>
    <t>040 2 02 03000 00 0000 151</t>
  </si>
  <si>
    <t>040 2 02 04000 00 0000 151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</si>
  <si>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</si>
  <si>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</si>
  <si>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</si>
  <si>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</si>
  <si>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</si>
  <si>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</si>
  <si>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</si>
  <si>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</si>
  <si>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</si>
  <si>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</si>
  <si>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</si>
  <si>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</si>
  <si>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</si>
  <si>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</si>
  <si>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</si>
  <si>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</si>
  <si>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</si>
  <si>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</si>
  <si>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</si>
  <si>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</si>
  <si>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</si>
  <si>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</si>
  <si>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</si>
  <si>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</si>
  <si>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</si>
  <si>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</si>
  <si>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</si>
  <si>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</si>
  <si>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</si>
  <si>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</si>
  <si>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</si>
  <si>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</si>
  <si>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</si>
  <si>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</si>
  <si>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</si>
  <si>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</si>
  <si>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</si>
  <si>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</si>
  <si>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</si>
  <si>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</si>
  <si>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Задолженность и перерасчёты по отменённым налогам,сборам и иным обязательным платежам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</si>
  <si>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</si>
  <si>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</si>
  <si>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</si>
  <si>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Доходы от оказания платных услуг и компенсации затрат государства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</si>
  <si>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</si>
  <si>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</si>
  <si>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</si>
  <si>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</si>
  <si>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</si>
  <si>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Безвозмездные поступления от других бюджетов системы Российской Федерации</t>
  </si>
  <si>
    <t>000 2 07 0000 00 0000 180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</si>
  <si>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</si>
  <si>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</si>
  <si>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</si>
  <si>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</si>
  <si>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</si>
  <si>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</si>
  <si>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</si>
  <si>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</si>
  <si>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</si>
  <si>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040 1 11 09044 04 0290 120</t>
  </si>
  <si>
    <t>048 1 12 01000 01 0000 120</t>
  </si>
  <si>
    <t>040 1 14 01040 04 0000 410</t>
  </si>
  <si>
    <t>040 1 14 06012 04 0000 430</t>
  </si>
  <si>
    <t>000 2 18 0000 00 0000 000</t>
  </si>
  <si>
    <t>040 2 07 04000 04 0210 180</t>
  </si>
  <si>
    <t>000 2 19 0000 00 0000 000</t>
  </si>
  <si>
    <t>на 01.02.2012 года</t>
  </si>
  <si>
    <t>План на 1 квартал 2012 года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</si>
  <si>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</si>
  <si>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</si>
  <si>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</si>
  <si>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</si>
  <si>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 xml:space="preserve"> Доходы бюджетов городских округов от возврата иными организациями остатков субсидий прошлых лет   </t>
  </si>
  <si>
    <t>% исполнения к утверждённому плану 2012 года</t>
  </si>
  <si>
    <t>% исполнения к плану 1 квартала 2012года</t>
  </si>
  <si>
    <t>Фактическое исполнение на 01.02.2012года</t>
  </si>
  <si>
    <t>Утверждено по бюджету на 2012год</t>
  </si>
  <si>
    <t>Дотации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</si>
  <si>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</si>
  <si>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 xml:space="preserve">Субвенции бюджетам субъектов РФ и муниципальных образований 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</si>
  <si>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</si>
  <si>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 Информация</t>
  </si>
  <si>
    <t>об исполнении бюджета</t>
  </si>
  <si>
    <t xml:space="preserve"> города Нижневартовска  по расходам  на 01.02.2012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</si>
  <si>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</si>
  <si>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</si>
  <si>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</si>
  <si>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</si>
  <si>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</si>
  <si>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01.02.2012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</si>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</sst>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\.00\.00"/>
    <numFmt numFmtId="166" formatCode="0\.00\.0"/>
    <numFmt numFmtId="167" formatCode="000"/>
    <numFmt numFmtId="168" formatCode="000\.00\.000\.0"/>
    <numFmt numFmtId="169" formatCode="00\.00"/>
    <numFmt numFmtId="170" formatCode="#,##0.00;[Red]\-#,##0.00;0.00"/>
    <numFmt numFmtId="171" formatCode="0.000"/>
    <numFmt numFmtId="172" formatCode="#,##0.0;[Red]\-#,##0.0;0.0"/>
    <numFmt numFmtId="173" formatCode="#,##0;[Red]\-#,##0;0"/>
    <numFmt numFmtId="174" formatCode="#,##0.0"/>
    <numFmt numFmtId="175" formatCode="0.0"/>
    <numFmt numFmtId="176" formatCode="#,##0.000;[Red]\-#,##0.000;0.000"/>
    <numFmt numFmtId="177" formatCode="#,##0.0000;[Red]\-#,##0.0000;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_ ;[Red]\-#,##0.00\ "/>
    <numFmt numFmtId="184" formatCode="#,##0.0_ ;[Red]\-#,##0.0\ 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56"/>
      <name val="Times New Roman Cyr"/>
      <family val="1"/>
    </font>
    <font>
      <sz val="12"/>
      <name val="Arial Cyr"/>
      <family val="0"/>
    </font>
    <font>
      <b/>
      <sz val="8"/>
      <name val="Times New Roman Cyr"/>
      <family val="1"/>
    </font>
    <font>
      <b/>
      <sz val="8"/>
      <name val="Arial Cyr"/>
      <family val="0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4" fillId="0" borderId="0" xfId="53" applyFont="1" applyProtection="1">
      <alignment/>
      <protection hidden="1"/>
    </xf>
    <xf numFmtId="166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Border="1">
      <alignment/>
      <protection/>
    </xf>
    <xf numFmtId="0" fontId="3" fillId="33" borderId="11" xfId="53" applyFont="1" applyFill="1" applyBorder="1">
      <alignment/>
      <protection/>
    </xf>
    <xf numFmtId="1" fontId="3" fillId="33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justify" vertical="center" wrapText="1"/>
    </xf>
    <xf numFmtId="1" fontId="3" fillId="33" borderId="13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justify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0" fontId="4" fillId="0" borderId="14" xfId="53" applyFont="1" applyBorder="1">
      <alignment/>
      <protection/>
    </xf>
    <xf numFmtId="166" fontId="4" fillId="0" borderId="15" xfId="53" applyNumberFormat="1" applyFont="1" applyFill="1" applyBorder="1" applyAlignment="1" applyProtection="1">
      <alignment horizontal="right" vertical="center" wrapText="1"/>
      <protection hidden="1"/>
    </xf>
    <xf numFmtId="1" fontId="3" fillId="33" borderId="16" xfId="0" applyNumberFormat="1" applyFont="1" applyFill="1" applyBorder="1" applyAlignment="1">
      <alignment horizontal="justify" vertical="center" wrapText="1"/>
    </xf>
    <xf numFmtId="0" fontId="3" fillId="33" borderId="17" xfId="53" applyFont="1" applyFill="1" applyBorder="1">
      <alignment/>
      <protection/>
    </xf>
    <xf numFmtId="166" fontId="3" fillId="33" borderId="17" xfId="53" applyNumberFormat="1" applyFont="1" applyFill="1" applyBorder="1" applyAlignment="1" applyProtection="1">
      <alignment horizontal="right" vertical="center" wrapText="1"/>
      <protection hidden="1"/>
    </xf>
    <xf numFmtId="1" fontId="3" fillId="33" borderId="11" xfId="0" applyNumberFormat="1" applyFont="1" applyFill="1" applyBorder="1" applyAlignment="1">
      <alignment horizontal="justify" vertical="center" wrapText="1"/>
    </xf>
    <xf numFmtId="0" fontId="4" fillId="0" borderId="12" xfId="53" applyFont="1" applyFill="1" applyBorder="1">
      <alignment/>
      <protection/>
    </xf>
    <xf numFmtId="0" fontId="4" fillId="0" borderId="15" xfId="53" applyFont="1" applyBorder="1">
      <alignment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justify" vertical="center" wrapText="1"/>
    </xf>
    <xf numFmtId="0" fontId="3" fillId="33" borderId="18" xfId="53" applyFont="1" applyFill="1" applyBorder="1">
      <alignment/>
      <protection/>
    </xf>
    <xf numFmtId="0" fontId="4" fillId="0" borderId="12" xfId="0" applyFont="1" applyBorder="1" applyAlignment="1">
      <alignment/>
    </xf>
    <xf numFmtId="0" fontId="4" fillId="0" borderId="14" xfId="53" applyFont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1" fontId="3" fillId="33" borderId="16" xfId="0" applyNumberFormat="1" applyFont="1" applyFill="1" applyBorder="1" applyAlignment="1">
      <alignment horizontal="justify" vertical="center" wrapText="1"/>
    </xf>
    <xf numFmtId="0" fontId="4" fillId="0" borderId="10" xfId="53" applyFont="1" applyBorder="1" applyAlignment="1">
      <alignment horizontal="left"/>
      <protection/>
    </xf>
    <xf numFmtId="49" fontId="4" fillId="0" borderId="10" xfId="0" applyNumberFormat="1" applyFont="1" applyFill="1" applyBorder="1" applyAlignment="1">
      <alignment horizontal="justify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" fontId="3" fillId="33" borderId="11" xfId="53" applyNumberFormat="1" applyFont="1" applyFill="1" applyBorder="1" applyAlignment="1" applyProtection="1">
      <alignment horizontal="right" vertical="center"/>
      <protection hidden="1"/>
    </xf>
    <xf numFmtId="4" fontId="3" fillId="33" borderId="17" xfId="53" applyNumberFormat="1" applyFont="1" applyFill="1" applyBorder="1" applyAlignment="1">
      <alignment vertical="center"/>
      <protection/>
    </xf>
    <xf numFmtId="4" fontId="3" fillId="33" borderId="17" xfId="53" applyNumberFormat="1" applyFont="1" applyFill="1" applyBorder="1">
      <alignment/>
      <protection/>
    </xf>
    <xf numFmtId="4" fontId="3" fillId="33" borderId="17" xfId="0" applyNumberFormat="1" applyFont="1" applyFill="1" applyBorder="1" applyAlignment="1">
      <alignment/>
    </xf>
    <xf numFmtId="4" fontId="3" fillId="33" borderId="18" xfId="53" applyNumberFormat="1" applyFont="1" applyFill="1" applyBorder="1">
      <alignment/>
      <protection/>
    </xf>
    <xf numFmtId="0" fontId="4" fillId="0" borderId="0" xfId="53" applyFont="1">
      <alignment/>
      <protection/>
    </xf>
    <xf numFmtId="182" fontId="3" fillId="33" borderId="19" xfId="53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1" xfId="53" applyNumberFormat="1" applyFont="1" applyFill="1" applyBorder="1" applyAlignment="1">
      <alignment/>
      <protection/>
    </xf>
    <xf numFmtId="4" fontId="4" fillId="0" borderId="20" xfId="53" applyNumberFormat="1" applyFont="1" applyFill="1" applyBorder="1">
      <alignment/>
      <protection/>
    </xf>
    <xf numFmtId="4" fontId="4" fillId="0" borderId="21" xfId="53" applyNumberFormat="1" applyFont="1" applyFill="1" applyBorder="1">
      <alignment/>
      <protection/>
    </xf>
    <xf numFmtId="4" fontId="4" fillId="0" borderId="22" xfId="53" applyNumberFormat="1" applyFont="1" applyFill="1" applyBorder="1">
      <alignment/>
      <protection/>
    </xf>
    <xf numFmtId="4" fontId="4" fillId="0" borderId="23" xfId="53" applyNumberFormat="1" applyFont="1" applyFill="1" applyBorder="1">
      <alignment/>
      <protection/>
    </xf>
    <xf numFmtId="4" fontId="4" fillId="0" borderId="22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/>
    </xf>
    <xf numFmtId="182" fontId="8" fillId="0" borderId="24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182" fontId="3" fillId="33" borderId="17" xfId="53" applyNumberFormat="1" applyFont="1" applyFill="1" applyBorder="1">
      <alignment/>
      <protection/>
    </xf>
    <xf numFmtId="182" fontId="4" fillId="0" borderId="25" xfId="0" applyNumberFormat="1" applyFont="1" applyFill="1" applyBorder="1" applyAlignment="1">
      <alignment/>
    </xf>
    <xf numFmtId="182" fontId="3" fillId="0" borderId="17" xfId="53" applyNumberFormat="1" applyFont="1" applyFill="1" applyBorder="1">
      <alignment/>
      <protection/>
    </xf>
    <xf numFmtId="4" fontId="3" fillId="0" borderId="17" xfId="53" applyNumberFormat="1" applyFont="1" applyFill="1" applyBorder="1">
      <alignment/>
      <protection/>
    </xf>
    <xf numFmtId="4" fontId="4" fillId="0" borderId="17" xfId="53" applyNumberFormat="1" applyFont="1" applyFill="1" applyBorder="1">
      <alignment/>
      <protection/>
    </xf>
    <xf numFmtId="182" fontId="4" fillId="0" borderId="17" xfId="53" applyNumberFormat="1" applyFont="1" applyFill="1" applyBorder="1">
      <alignment/>
      <protection/>
    </xf>
    <xf numFmtId="182" fontId="3" fillId="33" borderId="11" xfId="53" applyNumberFormat="1" applyFont="1" applyFill="1" applyBorder="1" applyAlignment="1" applyProtection="1">
      <alignment horizontal="right" vertical="center"/>
      <protection hidden="1"/>
    </xf>
    <xf numFmtId="182" fontId="3" fillId="33" borderId="19" xfId="53" applyNumberFormat="1" applyFont="1" applyFill="1" applyBorder="1" applyAlignment="1" applyProtection="1">
      <alignment horizontal="right" vertical="center"/>
      <protection hidden="1"/>
    </xf>
    <xf numFmtId="182" fontId="3" fillId="33" borderId="17" xfId="53" applyNumberFormat="1" applyFont="1" applyFill="1" applyBorder="1" applyAlignment="1">
      <alignment vertical="center"/>
      <protection/>
    </xf>
    <xf numFmtId="182" fontId="3" fillId="33" borderId="19" xfId="53" applyNumberFormat="1" applyFont="1" applyFill="1" applyBorder="1" applyAlignment="1">
      <alignment vertical="center"/>
      <protection/>
    </xf>
    <xf numFmtId="182" fontId="4" fillId="33" borderId="21" xfId="53" applyNumberFormat="1" applyFont="1" applyFill="1" applyBorder="1" applyAlignment="1">
      <alignment/>
      <protection/>
    </xf>
    <xf numFmtId="182" fontId="4" fillId="0" borderId="21" xfId="53" applyNumberFormat="1" applyFont="1" applyFill="1" applyBorder="1" applyAlignment="1">
      <alignment/>
      <protection/>
    </xf>
    <xf numFmtId="182" fontId="4" fillId="33" borderId="20" xfId="53" applyNumberFormat="1" applyFont="1" applyFill="1" applyBorder="1">
      <alignment/>
      <protection/>
    </xf>
    <xf numFmtId="182" fontId="4" fillId="0" borderId="20" xfId="53" applyNumberFormat="1" applyFont="1" applyFill="1" applyBorder="1">
      <alignment/>
      <protection/>
    </xf>
    <xf numFmtId="182" fontId="4" fillId="33" borderId="21" xfId="53" applyNumberFormat="1" applyFont="1" applyFill="1" applyBorder="1">
      <alignment/>
      <protection/>
    </xf>
    <xf numFmtId="182" fontId="4" fillId="0" borderId="21" xfId="53" applyNumberFormat="1" applyFont="1" applyFill="1" applyBorder="1">
      <alignment/>
      <protection/>
    </xf>
    <xf numFmtId="182" fontId="4" fillId="33" borderId="22" xfId="53" applyNumberFormat="1" applyFont="1" applyFill="1" applyBorder="1">
      <alignment/>
      <protection/>
    </xf>
    <xf numFmtId="182" fontId="4" fillId="0" borderId="22" xfId="53" applyNumberFormat="1" applyFont="1" applyFill="1" applyBorder="1">
      <alignment/>
      <protection/>
    </xf>
    <xf numFmtId="182" fontId="3" fillId="33" borderId="19" xfId="0" applyNumberFormat="1" applyFont="1" applyFill="1" applyBorder="1" applyAlignment="1">
      <alignment/>
    </xf>
    <xf numFmtId="182" fontId="4" fillId="33" borderId="23" xfId="53" applyNumberFormat="1" applyFont="1" applyFill="1" applyBorder="1">
      <alignment/>
      <protection/>
    </xf>
    <xf numFmtId="182" fontId="4" fillId="0" borderId="23" xfId="53" applyNumberFormat="1" applyFont="1" applyFill="1" applyBorder="1">
      <alignment/>
      <protection/>
    </xf>
    <xf numFmtId="182" fontId="4" fillId="33" borderId="17" xfId="53" applyNumberFormat="1" applyFont="1" applyFill="1" applyBorder="1">
      <alignment/>
      <protection/>
    </xf>
    <xf numFmtId="182" fontId="3" fillId="33" borderId="18" xfId="53" applyNumberFormat="1" applyFont="1" applyFill="1" applyBorder="1">
      <alignment/>
      <protection/>
    </xf>
    <xf numFmtId="182" fontId="3" fillId="33" borderId="26" xfId="53" applyNumberFormat="1" applyFont="1" applyFill="1" applyBorder="1">
      <alignment/>
      <protection/>
    </xf>
    <xf numFmtId="182" fontId="0" fillId="0" borderId="0" xfId="0" applyNumberFormat="1" applyAlignment="1">
      <alignment/>
    </xf>
    <xf numFmtId="182" fontId="4" fillId="0" borderId="24" xfId="0" applyNumberFormat="1" applyFont="1" applyBorder="1" applyAlignment="1">
      <alignment/>
    </xf>
    <xf numFmtId="182" fontId="4" fillId="0" borderId="27" xfId="0" applyNumberFormat="1" applyFont="1" applyFill="1" applyBorder="1" applyAlignment="1">
      <alignment/>
    </xf>
    <xf numFmtId="182" fontId="4" fillId="33" borderId="20" xfId="53" applyNumberFormat="1" applyFont="1" applyFill="1" applyBorder="1" applyAlignment="1">
      <alignment/>
      <protection/>
    </xf>
    <xf numFmtId="182" fontId="4" fillId="0" borderId="28" xfId="0" applyNumberFormat="1" applyFont="1" applyBorder="1" applyAlignment="1">
      <alignment/>
    </xf>
    <xf numFmtId="182" fontId="4" fillId="0" borderId="20" xfId="53" applyNumberFormat="1" applyFont="1" applyFill="1" applyBorder="1" applyAlignment="1">
      <alignment/>
      <protection/>
    </xf>
    <xf numFmtId="182" fontId="4" fillId="0" borderId="24" xfId="0" applyNumberFormat="1" applyFont="1" applyBorder="1" applyAlignment="1">
      <alignment/>
    </xf>
    <xf numFmtId="4" fontId="4" fillId="0" borderId="20" xfId="53" applyNumberFormat="1" applyFont="1" applyFill="1" applyBorder="1" applyAlignment="1">
      <alignment/>
      <protection/>
    </xf>
    <xf numFmtId="4" fontId="4" fillId="0" borderId="21" xfId="0" applyNumberFormat="1" applyFont="1" applyFill="1" applyBorder="1" applyAlignment="1">
      <alignment/>
    </xf>
    <xf numFmtId="4" fontId="3" fillId="33" borderId="17" xfId="53" applyNumberFormat="1" applyFont="1" applyFill="1" applyBorder="1" applyAlignment="1" applyProtection="1">
      <alignment horizontal="right" vertical="center"/>
      <protection hidden="1"/>
    </xf>
    <xf numFmtId="182" fontId="3" fillId="33" borderId="23" xfId="53" applyNumberFormat="1" applyFont="1" applyFill="1" applyBorder="1">
      <alignment/>
      <protection/>
    </xf>
    <xf numFmtId="1" fontId="12" fillId="0" borderId="15" xfId="0" applyNumberFormat="1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justify" vertical="center" wrapText="1"/>
    </xf>
    <xf numFmtId="1" fontId="12" fillId="0" borderId="14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justify" vertical="center" wrapText="1"/>
    </xf>
    <xf numFmtId="0" fontId="12" fillId="0" borderId="29" xfId="0" applyFont="1" applyBorder="1" applyAlignment="1">
      <alignment horizontal="justify" wrapText="1"/>
    </xf>
    <xf numFmtId="1" fontId="12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3" xfId="0" applyNumberFormat="1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justify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0" fontId="11" fillId="0" borderId="0" xfId="53" applyFont="1" applyAlignment="1" applyProtection="1">
      <alignment horizontal="center" wrapText="1"/>
      <protection hidden="1"/>
    </xf>
    <xf numFmtId="44" fontId="11" fillId="0" borderId="0" xfId="43" applyFont="1" applyAlignment="1" applyProtection="1">
      <alignment horizont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18" xfId="53" applyNumberFormat="1" applyFont="1" applyFill="1" applyBorder="1" applyAlignment="1">
      <alignment horizontal="center" vertical="center" wrapText="1"/>
      <protection/>
    </xf>
    <xf numFmtId="4" fontId="4" fillId="33" borderId="30" xfId="53" applyNumberFormat="1" applyFont="1" applyFill="1" applyBorder="1" applyAlignment="1">
      <alignment horizontal="center" vertical="center" wrapText="1"/>
      <protection/>
    </xf>
    <xf numFmtId="4" fontId="8" fillId="33" borderId="18" xfId="53" applyNumberFormat="1" applyFont="1" applyFill="1" applyBorder="1" applyAlignment="1">
      <alignment horizontal="center" vertical="center" wrapText="1"/>
      <protection/>
    </xf>
    <xf numFmtId="4" fontId="8" fillId="33" borderId="30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2" fillId="34" borderId="24" xfId="0" applyFont="1" applyFill="1" applyBorder="1" applyAlignment="1">
      <alignment horizontal="center" vertical="center" wrapText="1"/>
    </xf>
    <xf numFmtId="49" fontId="32" fillId="34" borderId="31" xfId="0" applyNumberFormat="1" applyFont="1" applyFill="1" applyBorder="1" applyAlignment="1">
      <alignment horizontal="center" vertical="center" wrapText="1"/>
    </xf>
    <xf numFmtId="183" fontId="32" fillId="34" borderId="31" xfId="0" applyNumberFormat="1" applyFont="1" applyFill="1" applyBorder="1" applyAlignment="1">
      <alignment horizontal="center" vertical="center" wrapText="1"/>
    </xf>
    <xf numFmtId="184" fontId="32" fillId="34" borderId="31" xfId="0" applyNumberFormat="1" applyFont="1" applyFill="1" applyBorder="1" applyAlignment="1">
      <alignment horizontal="center" vertical="center" wrapText="1"/>
    </xf>
    <xf numFmtId="184" fontId="32" fillId="34" borderId="53" xfId="0" applyNumberFormat="1" applyFont="1" applyFill="1" applyBorder="1" applyAlignment="1">
      <alignment horizontal="center" vertical="center" wrapText="1"/>
    </xf>
    <xf numFmtId="184" fontId="32" fillId="34" borderId="4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35" borderId="24" xfId="0" applyFont="1" applyFill="1" applyBorder="1" applyAlignment="1">
      <alignment horizontal="left" vertical="center" wrapText="1"/>
    </xf>
    <xf numFmtId="49" fontId="33" fillId="35" borderId="31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183" fontId="33" fillId="0" borderId="31" xfId="0" applyNumberFormat="1" applyFont="1" applyFill="1" applyBorder="1" applyAlignment="1">
      <alignment horizontal="center" vertical="center" wrapText="1"/>
    </xf>
    <xf numFmtId="184" fontId="33" fillId="0" borderId="31" xfId="0" applyNumberFormat="1" applyFont="1" applyFill="1" applyBorder="1" applyAlignment="1">
      <alignment horizontal="center" vertical="center" wrapText="1"/>
    </xf>
    <xf numFmtId="184" fontId="33" fillId="0" borderId="53" xfId="0" applyNumberFormat="1" applyFont="1" applyFill="1" applyBorder="1" applyAlignment="1">
      <alignment horizontal="center" vertical="center" wrapText="1"/>
    </xf>
    <xf numFmtId="184" fontId="33" fillId="0" borderId="4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4" xfId="0" applyFont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183" fontId="33" fillId="0" borderId="31" xfId="0" applyNumberFormat="1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left" vertical="center" wrapText="1"/>
    </xf>
    <xf numFmtId="49" fontId="33" fillId="36" borderId="31" xfId="0" applyNumberFormat="1" applyFont="1" applyFill="1" applyBorder="1" applyAlignment="1">
      <alignment horizontal="center" vertical="center" wrapText="1"/>
    </xf>
    <xf numFmtId="183" fontId="33" fillId="36" borderId="31" xfId="0" applyNumberFormat="1" applyFont="1" applyFill="1" applyBorder="1" applyAlignment="1">
      <alignment horizontal="center" vertical="center" wrapText="1"/>
    </xf>
    <xf numFmtId="184" fontId="33" fillId="36" borderId="53" xfId="0" applyNumberFormat="1" applyFont="1" applyFill="1" applyBorder="1" applyAlignment="1">
      <alignment horizontal="center" vertical="center" wrapText="1"/>
    </xf>
    <xf numFmtId="184" fontId="32" fillId="36" borderId="43" xfId="0" applyNumberFormat="1" applyFont="1" applyFill="1" applyBorder="1" applyAlignment="1">
      <alignment horizontal="center" vertical="center" wrapText="1"/>
    </xf>
    <xf numFmtId="184" fontId="32" fillId="36" borderId="31" xfId="0" applyNumberFormat="1" applyFont="1" applyFill="1" applyBorder="1" applyAlignment="1">
      <alignment horizontal="center" vertical="center" wrapText="1"/>
    </xf>
    <xf numFmtId="184" fontId="32" fillId="36" borderId="53" xfId="0" applyNumberFormat="1" applyFont="1" applyFill="1" applyBorder="1" applyAlignment="1">
      <alignment horizontal="center" vertical="center" wrapText="1"/>
    </xf>
    <xf numFmtId="0" fontId="33" fillId="36" borderId="0" xfId="0" applyFont="1" applyFill="1" applyAlignment="1">
      <alignment vertical="center"/>
    </xf>
    <xf numFmtId="184" fontId="32" fillId="37" borderId="53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justify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Border="1" applyAlignment="1">
      <alignment vertical="center"/>
    </xf>
    <xf numFmtId="49" fontId="32" fillId="34" borderId="31" xfId="0" applyNumberFormat="1" applyFont="1" applyFill="1" applyBorder="1" applyAlignment="1">
      <alignment horizontal="center" vertical="center" wrapText="1"/>
    </xf>
    <xf numFmtId="184" fontId="32" fillId="34" borderId="53" xfId="0" applyNumberFormat="1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184" fontId="33" fillId="37" borderId="5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0" fontId="33" fillId="35" borderId="24" xfId="0" applyFont="1" applyFill="1" applyBorder="1" applyAlignment="1">
      <alignment horizontal="left" vertical="center" wrapText="1"/>
    </xf>
    <xf numFmtId="0" fontId="33" fillId="35" borderId="31" xfId="0" applyFont="1" applyFill="1" applyBorder="1" applyAlignment="1">
      <alignment horizontal="center" vertical="center" wrapText="1"/>
    </xf>
    <xf numFmtId="183" fontId="33" fillId="35" borderId="31" xfId="0" applyNumberFormat="1" applyFont="1" applyFill="1" applyBorder="1" applyAlignment="1">
      <alignment horizontal="center" vertical="center" wrapText="1"/>
    </xf>
    <xf numFmtId="183" fontId="33" fillId="35" borderId="31" xfId="0" applyNumberFormat="1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center" vertical="center" wrapText="1"/>
    </xf>
    <xf numFmtId="49" fontId="33" fillId="0" borderId="41" xfId="0" applyNumberFormat="1" applyFont="1" applyBorder="1" applyAlignment="1">
      <alignment horizontal="center" vertical="center" wrapText="1"/>
    </xf>
    <xf numFmtId="183" fontId="33" fillId="0" borderId="41" xfId="0" applyNumberFormat="1" applyFont="1" applyFill="1" applyBorder="1" applyAlignment="1">
      <alignment horizontal="center" vertical="center" wrapText="1"/>
    </xf>
    <xf numFmtId="183" fontId="33" fillId="0" borderId="41" xfId="0" applyNumberFormat="1" applyFont="1" applyFill="1" applyBorder="1" applyAlignment="1">
      <alignment horizontal="center" vertical="center" wrapText="1"/>
    </xf>
    <xf numFmtId="184" fontId="33" fillId="0" borderId="41" xfId="0" applyNumberFormat="1" applyFont="1" applyFill="1" applyBorder="1" applyAlignment="1">
      <alignment horizontal="center" vertical="center" wrapText="1"/>
    </xf>
    <xf numFmtId="184" fontId="33" fillId="0" borderId="54" xfId="0" applyNumberFormat="1" applyFont="1" applyFill="1" applyBorder="1" applyAlignment="1">
      <alignment horizontal="center" vertical="center" wrapText="1"/>
    </xf>
    <xf numFmtId="0" fontId="32" fillId="37" borderId="24" xfId="0" applyFont="1" applyFill="1" applyBorder="1" applyAlignment="1">
      <alignment horizontal="center" vertical="center" wrapText="1"/>
    </xf>
    <xf numFmtId="183" fontId="32" fillId="37" borderId="31" xfId="0" applyNumberFormat="1" applyFont="1" applyFill="1" applyBorder="1" applyAlignment="1">
      <alignment horizontal="center" vertical="center" wrapText="1"/>
    </xf>
    <xf numFmtId="184" fontId="32" fillId="37" borderId="41" xfId="0" applyNumberFormat="1" applyFont="1" applyFill="1" applyBorder="1" applyAlignment="1">
      <alignment horizontal="center" vertical="center" wrapText="1"/>
    </xf>
    <xf numFmtId="184" fontId="33" fillId="0" borderId="55" xfId="0" applyNumberFormat="1" applyFont="1" applyFill="1" applyBorder="1" applyAlignment="1">
      <alignment horizontal="center" vertical="center" wrapText="1"/>
    </xf>
    <xf numFmtId="184" fontId="33" fillId="0" borderId="40" xfId="0" applyNumberFormat="1" applyFont="1" applyFill="1" applyBorder="1" applyAlignment="1">
      <alignment horizontal="center" vertical="center" wrapText="1"/>
    </xf>
    <xf numFmtId="184" fontId="33" fillId="0" borderId="56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36" borderId="31" xfId="0" applyFont="1" applyFill="1" applyBorder="1" applyAlignment="1">
      <alignment horizontal="center" vertical="center" wrapText="1"/>
    </xf>
    <xf numFmtId="184" fontId="33" fillId="36" borderId="41" xfId="0" applyNumberFormat="1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57" xfId="0" applyFont="1" applyFill="1" applyBorder="1" applyAlignment="1">
      <alignment horizontal="center" vertical="center" wrapText="1"/>
    </xf>
    <xf numFmtId="183" fontId="32" fillId="34" borderId="57" xfId="0" applyNumberFormat="1" applyFont="1" applyFill="1" applyBorder="1" applyAlignment="1">
      <alignment horizontal="center" vertical="center" wrapText="1"/>
    </xf>
    <xf numFmtId="184" fontId="32" fillId="34" borderId="57" xfId="0" applyNumberFormat="1" applyFont="1" applyFill="1" applyBorder="1" applyAlignment="1">
      <alignment horizontal="center" vertical="center" wrapText="1"/>
    </xf>
    <xf numFmtId="184" fontId="32" fillId="34" borderId="58" xfId="0" applyNumberFormat="1" applyFont="1" applyFill="1" applyBorder="1" applyAlignment="1">
      <alignment horizontal="center" vertical="center" wrapText="1"/>
    </xf>
    <xf numFmtId="184" fontId="32" fillId="34" borderId="59" xfId="0" applyNumberFormat="1" applyFont="1" applyFill="1" applyBorder="1" applyAlignment="1">
      <alignment horizontal="center" vertical="center" wrapText="1"/>
    </xf>
    <xf numFmtId="174" fontId="32" fillId="0" borderId="0" xfId="0" applyNumberFormat="1" applyFont="1" applyFill="1" applyBorder="1" applyAlignment="1">
      <alignment horizontal="center" vertical="center" wrapText="1"/>
    </xf>
    <xf numFmtId="174" fontId="33" fillId="0" borderId="0" xfId="0" applyNumberFormat="1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74" fontId="33" fillId="0" borderId="0" xfId="0" applyNumberFormat="1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4" fontId="38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63" zoomScaleNormal="63" zoomScalePageLayoutView="0" workbookViewId="0" topLeftCell="A1">
      <pane xSplit="7" ySplit="6" topLeftCell="H4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3" sqref="C43"/>
    </sheetView>
  </sheetViews>
  <sheetFormatPr defaultColWidth="9.00390625" defaultRowHeight="12.75"/>
  <cols>
    <col min="1" max="1" width="32.50390625" style="0" customWidth="1"/>
    <col min="2" max="2" width="95.50390625" style="0" customWidth="1"/>
    <col min="3" max="3" width="19.625" style="0" customWidth="1"/>
    <col min="4" max="5" width="17.875" style="0" customWidth="1"/>
    <col min="6" max="6" width="13.50390625" style="0" customWidth="1"/>
    <col min="7" max="7" width="14.875" style="0" customWidth="1"/>
    <col min="8" max="8" width="16.00390625" style="0" customWidth="1"/>
  </cols>
  <sheetData>
    <row r="1" spans="1:7" ht="18.75" customHeight="1">
      <c r="A1" s="107" t="s">
        <v>64</v>
      </c>
      <c r="B1" s="107"/>
      <c r="C1" s="107"/>
      <c r="D1" s="107"/>
      <c r="E1" s="107"/>
      <c r="F1" s="107"/>
      <c r="G1" s="107"/>
    </row>
    <row r="2" spans="1:7" ht="18.75" customHeight="1">
      <c r="A2" s="107" t="s">
        <v>65</v>
      </c>
      <c r="B2" s="107"/>
      <c r="C2" s="107"/>
      <c r="D2" s="107"/>
      <c r="E2" s="107"/>
      <c r="F2" s="107"/>
      <c r="G2" s="107"/>
    </row>
    <row r="3" spans="1:7" ht="18.75" customHeight="1">
      <c r="A3" s="108" t="s">
        <v>77</v>
      </c>
      <c r="B3" s="108"/>
      <c r="C3" s="108"/>
      <c r="D3" s="108"/>
      <c r="E3" s="108"/>
      <c r="F3" s="108"/>
      <c r="G3" s="108"/>
    </row>
    <row r="4" spans="1:7" ht="24.75" customHeight="1" thickBot="1">
      <c r="A4" s="3"/>
      <c r="B4" s="1"/>
      <c r="C4" s="2"/>
      <c r="D4" s="2"/>
      <c r="E4" s="2"/>
      <c r="F4" s="2"/>
      <c r="G4" s="39" t="s">
        <v>66</v>
      </c>
    </row>
    <row r="5" spans="1:7" ht="19.5" customHeight="1">
      <c r="A5" s="109" t="s">
        <v>22</v>
      </c>
      <c r="B5" s="109" t="s">
        <v>46</v>
      </c>
      <c r="C5" s="111" t="s">
        <v>87</v>
      </c>
      <c r="D5" s="111" t="s">
        <v>78</v>
      </c>
      <c r="E5" s="111" t="s">
        <v>86</v>
      </c>
      <c r="F5" s="105" t="s">
        <v>85</v>
      </c>
      <c r="G5" s="113" t="s">
        <v>84</v>
      </c>
    </row>
    <row r="6" spans="1:7" ht="63.75" customHeight="1" thickBot="1">
      <c r="A6" s="110"/>
      <c r="B6" s="110"/>
      <c r="C6" s="112"/>
      <c r="D6" s="112"/>
      <c r="E6" s="112"/>
      <c r="F6" s="106"/>
      <c r="G6" s="114"/>
    </row>
    <row r="7" spans="1:7" ht="22.5" customHeight="1" thickBot="1">
      <c r="A7" s="16"/>
      <c r="B7" s="32" t="s">
        <v>11</v>
      </c>
      <c r="C7" s="60">
        <f>SUM(C8,C9,C13,C17:C19,C26,C28:C29,C33:C35)</f>
        <v>6137217.899000001</v>
      </c>
      <c r="D7" s="60">
        <f>SUM(D8,D9,D13,D17:D19,D26,D28:D29,D33:D35)</f>
        <v>1313498.604</v>
      </c>
      <c r="E7" s="59">
        <f>SUM(E8,E9,E13,E17,E18,E19,E26,E28,E29,E33,E35)</f>
        <v>365028.7</v>
      </c>
      <c r="F7" s="34">
        <f>E7/D7*100</f>
        <v>27.79056626998897</v>
      </c>
      <c r="G7" s="86">
        <f>E7/C7*100</f>
        <v>5.9477878414497525</v>
      </c>
    </row>
    <row r="8" spans="1:7" ht="24.75" customHeight="1" thickBot="1">
      <c r="A8" s="13" t="s">
        <v>24</v>
      </c>
      <c r="B8" s="88" t="s">
        <v>45</v>
      </c>
      <c r="C8" s="80">
        <v>4017249.9</v>
      </c>
      <c r="D8" s="81">
        <v>912703</v>
      </c>
      <c r="E8" s="82">
        <v>230064.974</v>
      </c>
      <c r="F8" s="84">
        <f>E8/D8*100</f>
        <v>25.206992197900078</v>
      </c>
      <c r="G8" s="84">
        <f aca="true" t="shared" si="0" ref="G8:G48">E8/C8*100</f>
        <v>5.726927119968314</v>
      </c>
    </row>
    <row r="9" spans="1:7" ht="33" customHeight="1" thickBot="1">
      <c r="A9" s="16" t="s">
        <v>25</v>
      </c>
      <c r="B9" s="7" t="s">
        <v>12</v>
      </c>
      <c r="C9" s="62">
        <f>SUM(C10:C12)</f>
        <v>700357</v>
      </c>
      <c r="D9" s="62">
        <f>SUM(D10:D12)</f>
        <v>171080</v>
      </c>
      <c r="E9" s="61">
        <f>SUM(E10,E11,E12)</f>
        <v>79436.791</v>
      </c>
      <c r="F9" s="35">
        <f aca="true" t="shared" si="1" ref="F9:F48">E9/D9*100</f>
        <v>46.43254091653028</v>
      </c>
      <c r="G9" s="35">
        <f t="shared" si="0"/>
        <v>11.34232841250962</v>
      </c>
    </row>
    <row r="10" spans="1:7" ht="24" customHeight="1">
      <c r="A10" s="13" t="s">
        <v>27</v>
      </c>
      <c r="B10" s="89" t="s">
        <v>26</v>
      </c>
      <c r="C10" s="80">
        <v>413547</v>
      </c>
      <c r="D10" s="83">
        <v>96447</v>
      </c>
      <c r="E10" s="82">
        <v>25533.43</v>
      </c>
      <c r="F10" s="85">
        <f t="shared" si="1"/>
        <v>26.47405310688772</v>
      </c>
      <c r="G10" s="84">
        <f t="shared" si="0"/>
        <v>6.1742510524801295</v>
      </c>
    </row>
    <row r="11" spans="1:7" ht="21.75" customHeight="1">
      <c r="A11" s="4" t="s">
        <v>28</v>
      </c>
      <c r="B11" s="90" t="s">
        <v>13</v>
      </c>
      <c r="C11" s="63">
        <v>286550</v>
      </c>
      <c r="D11" s="83">
        <v>74503</v>
      </c>
      <c r="E11" s="64">
        <v>53903.301</v>
      </c>
      <c r="F11" s="85">
        <f t="shared" si="1"/>
        <v>72.35051071768922</v>
      </c>
      <c r="G11" s="43">
        <f t="shared" si="0"/>
        <v>18.811132786599195</v>
      </c>
    </row>
    <row r="12" spans="1:7" ht="20.25" customHeight="1" thickBot="1">
      <c r="A12" s="4" t="s">
        <v>47</v>
      </c>
      <c r="B12" s="90" t="s">
        <v>48</v>
      </c>
      <c r="C12" s="80">
        <v>260</v>
      </c>
      <c r="D12" s="83">
        <v>130</v>
      </c>
      <c r="E12" s="82">
        <v>0.06</v>
      </c>
      <c r="F12" s="85">
        <v>0</v>
      </c>
      <c r="G12" s="84">
        <f t="shared" si="0"/>
        <v>0.023076923076923075</v>
      </c>
    </row>
    <row r="13" spans="1:7" ht="27.75" customHeight="1" thickBot="1">
      <c r="A13" s="15" t="s">
        <v>29</v>
      </c>
      <c r="B13" s="7" t="s">
        <v>14</v>
      </c>
      <c r="C13" s="62">
        <f>SUM(C14:C16)</f>
        <v>543012.98</v>
      </c>
      <c r="D13" s="62">
        <f>SUM(D14:D16)</f>
        <v>84679</v>
      </c>
      <c r="E13" s="61">
        <f>SUM(E14,E15,E16)</f>
        <v>31932.097999999998</v>
      </c>
      <c r="F13" s="35">
        <f t="shared" si="1"/>
        <v>37.7095832496841</v>
      </c>
      <c r="G13" s="35">
        <f t="shared" si="0"/>
        <v>5.880540461482155</v>
      </c>
    </row>
    <row r="14" spans="1:7" ht="36" customHeight="1">
      <c r="A14" s="23" t="s">
        <v>30</v>
      </c>
      <c r="B14" s="89" t="s">
        <v>31</v>
      </c>
      <c r="C14" s="65">
        <v>64000</v>
      </c>
      <c r="D14" s="78">
        <v>1500</v>
      </c>
      <c r="E14" s="66">
        <v>824.02</v>
      </c>
      <c r="F14" s="41">
        <f t="shared" si="1"/>
        <v>54.934666666666665</v>
      </c>
      <c r="G14" s="44">
        <f t="shared" si="0"/>
        <v>1.28753125</v>
      </c>
    </row>
    <row r="15" spans="1:7" ht="18" customHeight="1">
      <c r="A15" s="5" t="s">
        <v>32</v>
      </c>
      <c r="B15" s="90" t="s">
        <v>33</v>
      </c>
      <c r="C15" s="67">
        <v>342347</v>
      </c>
      <c r="D15" s="78">
        <v>53957</v>
      </c>
      <c r="E15" s="66">
        <v>22334.516</v>
      </c>
      <c r="F15" s="42">
        <f t="shared" si="1"/>
        <v>41.39317604759346</v>
      </c>
      <c r="G15" s="45">
        <f t="shared" si="0"/>
        <v>6.523940913751253</v>
      </c>
    </row>
    <row r="16" spans="1:7" ht="20.25" customHeight="1" thickBot="1">
      <c r="A16" s="12" t="s">
        <v>34</v>
      </c>
      <c r="B16" s="91" t="s">
        <v>15</v>
      </c>
      <c r="C16" s="69">
        <v>136665.98</v>
      </c>
      <c r="D16" s="78">
        <v>29222</v>
      </c>
      <c r="E16" s="66">
        <v>8773.562</v>
      </c>
      <c r="F16" s="42">
        <f t="shared" si="1"/>
        <v>30.023824515775786</v>
      </c>
      <c r="G16" s="46">
        <f t="shared" si="0"/>
        <v>6.419711767332294</v>
      </c>
    </row>
    <row r="17" spans="1:7" ht="20.25" customHeight="1" thickBot="1">
      <c r="A17" s="22" t="s">
        <v>35</v>
      </c>
      <c r="B17" s="7" t="s">
        <v>16</v>
      </c>
      <c r="C17" s="53">
        <v>22850</v>
      </c>
      <c r="D17" s="71">
        <v>6154</v>
      </c>
      <c r="E17" s="53">
        <v>2010.474</v>
      </c>
      <c r="F17" s="36">
        <f t="shared" si="1"/>
        <v>32.66938576535586</v>
      </c>
      <c r="G17" s="36">
        <f t="shared" si="0"/>
        <v>8.798573304157548</v>
      </c>
    </row>
    <row r="18" spans="1:7" ht="34.5" customHeight="1" thickBot="1">
      <c r="A18" s="22" t="s">
        <v>50</v>
      </c>
      <c r="B18" s="7" t="s">
        <v>49</v>
      </c>
      <c r="C18" s="53">
        <v>0</v>
      </c>
      <c r="D18" s="71">
        <v>0</v>
      </c>
      <c r="E18" s="53">
        <v>0</v>
      </c>
      <c r="F18" s="37">
        <v>0</v>
      </c>
      <c r="G18" s="36">
        <v>0</v>
      </c>
    </row>
    <row r="19" spans="1:7" ht="42" customHeight="1" thickBot="1">
      <c r="A19" s="15" t="s">
        <v>36</v>
      </c>
      <c r="B19" s="9" t="s">
        <v>17</v>
      </c>
      <c r="C19" s="53">
        <f>SUM(C20:C25)</f>
        <v>732006.189</v>
      </c>
      <c r="D19" s="53">
        <f>SUM(D20:D25)</f>
        <v>110807.10399999999</v>
      </c>
      <c r="E19" s="53">
        <f>SUM(E20:E25)</f>
        <v>9937.275</v>
      </c>
      <c r="F19" s="36">
        <f t="shared" si="1"/>
        <v>8.968084753843941</v>
      </c>
      <c r="G19" s="36">
        <f t="shared" si="0"/>
        <v>1.3575397516208705</v>
      </c>
    </row>
    <row r="20" spans="1:7" s="27" customFormat="1" ht="54.75" customHeight="1">
      <c r="A20" s="19" t="s">
        <v>67</v>
      </c>
      <c r="B20" s="92" t="s">
        <v>61</v>
      </c>
      <c r="C20" s="72">
        <v>2300</v>
      </c>
      <c r="D20" s="50">
        <v>0</v>
      </c>
      <c r="E20" s="73">
        <v>0</v>
      </c>
      <c r="F20" s="42">
        <v>0</v>
      </c>
      <c r="G20" s="47">
        <f t="shared" si="0"/>
        <v>0</v>
      </c>
    </row>
    <row r="21" spans="1:7" ht="73.5" customHeight="1">
      <c r="A21" s="19" t="s">
        <v>79</v>
      </c>
      <c r="B21" s="90" t="s">
        <v>37</v>
      </c>
      <c r="C21" s="67">
        <v>597000</v>
      </c>
      <c r="D21" s="50">
        <v>65000</v>
      </c>
      <c r="E21" s="68">
        <v>5671.307</v>
      </c>
      <c r="F21" s="42">
        <f t="shared" si="1"/>
        <v>8.725087692307692</v>
      </c>
      <c r="G21" s="45">
        <f t="shared" si="0"/>
        <v>0.9499676716917923</v>
      </c>
    </row>
    <row r="22" spans="1:7" s="33" customFormat="1" ht="75.75" customHeight="1">
      <c r="A22" s="5" t="s">
        <v>10</v>
      </c>
      <c r="B22" s="90" t="s">
        <v>80</v>
      </c>
      <c r="C22" s="67">
        <v>3000</v>
      </c>
      <c r="D22" s="50">
        <v>0</v>
      </c>
      <c r="E22" s="68">
        <v>0</v>
      </c>
      <c r="F22" s="42">
        <v>0</v>
      </c>
      <c r="G22" s="45">
        <f t="shared" si="0"/>
        <v>0</v>
      </c>
    </row>
    <row r="23" spans="1:7" ht="59.25" customHeight="1">
      <c r="A23" s="5" t="s">
        <v>68</v>
      </c>
      <c r="B23" s="90" t="s">
        <v>58</v>
      </c>
      <c r="C23" s="67">
        <v>104683.469</v>
      </c>
      <c r="D23" s="50">
        <v>22667.104</v>
      </c>
      <c r="E23" s="68">
        <v>4105.813</v>
      </c>
      <c r="F23" s="42">
        <f t="shared" si="1"/>
        <v>18.113531397747153</v>
      </c>
      <c r="G23" s="45">
        <f t="shared" si="0"/>
        <v>3.922121648452441</v>
      </c>
    </row>
    <row r="24" spans="1:7" ht="53.25" customHeight="1">
      <c r="A24" s="5" t="s">
        <v>69</v>
      </c>
      <c r="B24" s="90" t="s">
        <v>18</v>
      </c>
      <c r="C24" s="67">
        <v>22600</v>
      </c>
      <c r="D24" s="50">
        <v>22600</v>
      </c>
      <c r="E24" s="68">
        <v>0</v>
      </c>
      <c r="F24" s="42">
        <f t="shared" si="1"/>
        <v>0</v>
      </c>
      <c r="G24" s="45">
        <f t="shared" si="0"/>
        <v>0</v>
      </c>
    </row>
    <row r="25" spans="1:7" ht="70.5" customHeight="1" thickBot="1">
      <c r="A25" s="24" t="s">
        <v>70</v>
      </c>
      <c r="B25" s="90" t="s">
        <v>2</v>
      </c>
      <c r="C25" s="67">
        <v>2422.72</v>
      </c>
      <c r="D25" s="50">
        <v>540</v>
      </c>
      <c r="E25" s="68">
        <v>160.155</v>
      </c>
      <c r="F25" s="42">
        <f t="shared" si="1"/>
        <v>29.65833333333333</v>
      </c>
      <c r="G25" s="45">
        <f t="shared" si="0"/>
        <v>6.610545172368249</v>
      </c>
    </row>
    <row r="26" spans="1:7" ht="29.25" customHeight="1" thickBot="1">
      <c r="A26" s="15" t="s">
        <v>38</v>
      </c>
      <c r="B26" s="17" t="s">
        <v>19</v>
      </c>
      <c r="C26" s="40">
        <f>C27</f>
        <v>17900</v>
      </c>
      <c r="D26" s="40">
        <f>D27</f>
        <v>4475</v>
      </c>
      <c r="E26" s="53">
        <f>E27</f>
        <v>0</v>
      </c>
      <c r="F26" s="36">
        <f t="shared" si="1"/>
        <v>0</v>
      </c>
      <c r="G26" s="36">
        <f t="shared" si="0"/>
        <v>0</v>
      </c>
    </row>
    <row r="27" spans="1:7" ht="25.5" customHeight="1" thickBot="1">
      <c r="A27" s="18" t="s">
        <v>71</v>
      </c>
      <c r="B27" s="21" t="s">
        <v>19</v>
      </c>
      <c r="C27" s="74">
        <v>17900</v>
      </c>
      <c r="D27" s="78">
        <v>4475</v>
      </c>
      <c r="E27" s="73">
        <v>0</v>
      </c>
      <c r="F27" s="42">
        <f t="shared" si="1"/>
        <v>0</v>
      </c>
      <c r="G27" s="47">
        <f t="shared" si="0"/>
        <v>0</v>
      </c>
    </row>
    <row r="28" spans="1:7" ht="34.5" customHeight="1" thickBot="1">
      <c r="A28" s="22" t="s">
        <v>52</v>
      </c>
      <c r="B28" s="29" t="s">
        <v>53</v>
      </c>
      <c r="C28" s="53">
        <v>0</v>
      </c>
      <c r="D28" s="53">
        <v>0</v>
      </c>
      <c r="E28" s="53">
        <v>2095.484</v>
      </c>
      <c r="F28" s="36">
        <v>0</v>
      </c>
      <c r="G28" s="36">
        <v>0</v>
      </c>
    </row>
    <row r="29" spans="1:7" ht="29.25" customHeight="1" thickBot="1">
      <c r="A29" s="15" t="s">
        <v>39</v>
      </c>
      <c r="B29" s="10" t="s">
        <v>51</v>
      </c>
      <c r="C29" s="40">
        <f>SUM(C30:C32)</f>
        <v>73379.83</v>
      </c>
      <c r="D29" s="40">
        <f>SUM(D30:D32)</f>
        <v>16289</v>
      </c>
      <c r="E29" s="40">
        <f>SUM(E30:E32)</f>
        <v>4543.432</v>
      </c>
      <c r="F29" s="36">
        <f t="shared" si="1"/>
        <v>27.892639204371044</v>
      </c>
      <c r="G29" s="36">
        <f t="shared" si="0"/>
        <v>6.191663294940857</v>
      </c>
    </row>
    <row r="30" spans="1:7" ht="29.25" customHeight="1">
      <c r="A30" s="19" t="s">
        <v>72</v>
      </c>
      <c r="B30" s="93" t="s">
        <v>40</v>
      </c>
      <c r="C30" s="65">
        <v>21666.6</v>
      </c>
      <c r="D30" s="50">
        <v>4410</v>
      </c>
      <c r="E30" s="66">
        <v>1468.068</v>
      </c>
      <c r="F30" s="42">
        <f t="shared" si="1"/>
        <v>33.28952380952381</v>
      </c>
      <c r="G30" s="44">
        <f t="shared" si="0"/>
        <v>6.775719309905568</v>
      </c>
    </row>
    <row r="31" spans="1:7" ht="72" customHeight="1">
      <c r="A31" s="5" t="s">
        <v>81</v>
      </c>
      <c r="B31" s="94" t="s">
        <v>62</v>
      </c>
      <c r="C31" s="67">
        <v>43713.23</v>
      </c>
      <c r="D31" s="50">
        <v>10879</v>
      </c>
      <c r="E31" s="68">
        <v>2511.284</v>
      </c>
      <c r="F31" s="42">
        <f t="shared" si="1"/>
        <v>23.08377608236051</v>
      </c>
      <c r="G31" s="45">
        <f t="shared" si="0"/>
        <v>5.744906061620246</v>
      </c>
    </row>
    <row r="32" spans="1:7" ht="38.25" customHeight="1" thickBot="1">
      <c r="A32" s="12" t="s">
        <v>73</v>
      </c>
      <c r="B32" s="95" t="s">
        <v>41</v>
      </c>
      <c r="C32" s="67">
        <v>8000</v>
      </c>
      <c r="D32" s="50">
        <v>1000</v>
      </c>
      <c r="E32" s="70">
        <v>564.08</v>
      </c>
      <c r="F32" s="48">
        <f t="shared" si="1"/>
        <v>56.408</v>
      </c>
      <c r="G32" s="46">
        <f t="shared" si="0"/>
        <v>7.051</v>
      </c>
    </row>
    <row r="33" spans="1:7" ht="24.75" customHeight="1" thickBot="1">
      <c r="A33" s="15" t="s">
        <v>42</v>
      </c>
      <c r="B33" s="14" t="s">
        <v>20</v>
      </c>
      <c r="C33" s="53">
        <v>30462</v>
      </c>
      <c r="D33" s="71">
        <v>7311.5</v>
      </c>
      <c r="E33" s="71">
        <v>1442.661</v>
      </c>
      <c r="F33" s="37">
        <f t="shared" si="1"/>
        <v>19.731395746426863</v>
      </c>
      <c r="G33" s="36">
        <f t="shared" si="0"/>
        <v>4.735936576718535</v>
      </c>
    </row>
    <row r="34" spans="1:7" s="27" customFormat="1" ht="55.5" customHeight="1" hidden="1">
      <c r="A34" s="30" t="s">
        <v>9</v>
      </c>
      <c r="B34" s="31" t="s">
        <v>63</v>
      </c>
      <c r="C34" s="65">
        <v>0</v>
      </c>
      <c r="D34" s="51">
        <v>0</v>
      </c>
      <c r="E34" s="66">
        <v>0</v>
      </c>
      <c r="F34" s="49" t="e">
        <f t="shared" si="1"/>
        <v>#DIV/0!</v>
      </c>
      <c r="G34" s="44" t="e">
        <f t="shared" si="0"/>
        <v>#DIV/0!</v>
      </c>
    </row>
    <row r="35" spans="1:7" ht="23.25" customHeight="1" thickBot="1">
      <c r="A35" s="15" t="s">
        <v>54</v>
      </c>
      <c r="B35" s="14" t="s">
        <v>55</v>
      </c>
      <c r="C35" s="75">
        <v>0</v>
      </c>
      <c r="D35" s="76">
        <v>0</v>
      </c>
      <c r="E35" s="76">
        <v>3565.511</v>
      </c>
      <c r="F35" s="38">
        <v>0</v>
      </c>
      <c r="G35" s="38">
        <v>0</v>
      </c>
    </row>
    <row r="36" spans="1:7" ht="31.5" customHeight="1" thickBot="1">
      <c r="A36" s="6" t="s">
        <v>43</v>
      </c>
      <c r="B36" s="11" t="s">
        <v>23</v>
      </c>
      <c r="C36" s="40">
        <f>C37+C42+C44+C46</f>
        <v>4766832.137999999</v>
      </c>
      <c r="D36" s="40">
        <f>D37+D42+D44+D46</f>
        <v>960728.1630000001</v>
      </c>
      <c r="E36" s="53">
        <f>SUM(E37,E42,E44,E46)</f>
        <v>288494.724</v>
      </c>
      <c r="F36" s="36">
        <f t="shared" si="1"/>
        <v>30.028756844093884</v>
      </c>
      <c r="G36" s="36">
        <f t="shared" si="0"/>
        <v>6.052126771995847</v>
      </c>
    </row>
    <row r="37" spans="1:7" ht="40.5" customHeight="1" thickBot="1">
      <c r="A37" s="97" t="s">
        <v>4</v>
      </c>
      <c r="B37" s="101" t="s">
        <v>59</v>
      </c>
      <c r="C37" s="53">
        <f>SUM(C38:C41)</f>
        <v>4766832.137999999</v>
      </c>
      <c r="D37" s="55">
        <f>SUM(D38:D41)</f>
        <v>960728.1630000001</v>
      </c>
      <c r="E37" s="55">
        <f>E38+E39+E40+E41</f>
        <v>288024.629</v>
      </c>
      <c r="F37" s="56">
        <f t="shared" si="1"/>
        <v>29.979825729330678</v>
      </c>
      <c r="G37" s="56">
        <f t="shared" si="0"/>
        <v>6.042264981473531</v>
      </c>
    </row>
    <row r="38" spans="1:7" ht="22.5" customHeight="1" thickBot="1">
      <c r="A38" s="99" t="s">
        <v>5</v>
      </c>
      <c r="B38" s="102" t="s">
        <v>88</v>
      </c>
      <c r="C38" s="74">
        <v>71992.2</v>
      </c>
      <c r="D38" s="58">
        <v>17998.05</v>
      </c>
      <c r="E38" s="58">
        <v>5999.4</v>
      </c>
      <c r="F38" s="57">
        <f t="shared" si="1"/>
        <v>33.333611141206966</v>
      </c>
      <c r="G38" s="57">
        <f t="shared" si="0"/>
        <v>8.333402785301741</v>
      </c>
    </row>
    <row r="39" spans="1:7" ht="33.75" customHeight="1" thickBot="1">
      <c r="A39" s="100" t="s">
        <v>6</v>
      </c>
      <c r="B39" s="104" t="s">
        <v>89</v>
      </c>
      <c r="C39" s="74">
        <v>651073.5</v>
      </c>
      <c r="D39" s="58">
        <v>74113.35</v>
      </c>
      <c r="E39" s="58">
        <v>3041.3</v>
      </c>
      <c r="F39" s="57">
        <f t="shared" si="1"/>
        <v>4.1035791797294285</v>
      </c>
      <c r="G39" s="57">
        <f t="shared" si="0"/>
        <v>0.4671208396594241</v>
      </c>
    </row>
    <row r="40" spans="1:7" ht="22.5" customHeight="1" thickBot="1">
      <c r="A40" s="99" t="s">
        <v>7</v>
      </c>
      <c r="B40" s="103" t="s">
        <v>90</v>
      </c>
      <c r="C40" s="74">
        <v>4036191.9</v>
      </c>
      <c r="D40" s="58">
        <v>865906.775</v>
      </c>
      <c r="E40" s="58">
        <v>278347.691</v>
      </c>
      <c r="F40" s="57">
        <f t="shared" si="1"/>
        <v>32.14522614169406</v>
      </c>
      <c r="G40" s="57">
        <f t="shared" si="0"/>
        <v>6.89629477230753</v>
      </c>
    </row>
    <row r="41" spans="1:7" ht="18" customHeight="1" thickBot="1">
      <c r="A41" s="98" t="s">
        <v>8</v>
      </c>
      <c r="B41" s="96" t="s">
        <v>44</v>
      </c>
      <c r="C41" s="74">
        <v>7574.538</v>
      </c>
      <c r="D41" s="58">
        <v>2709.988</v>
      </c>
      <c r="E41" s="58">
        <v>636.238</v>
      </c>
      <c r="F41" s="57">
        <f t="shared" si="1"/>
        <v>23.477520933672036</v>
      </c>
      <c r="G41" s="57">
        <f t="shared" si="0"/>
        <v>8.399693816309325</v>
      </c>
    </row>
    <row r="42" spans="1:7" ht="24.75" customHeight="1" thickBot="1">
      <c r="A42" s="26" t="s">
        <v>60</v>
      </c>
      <c r="B42" s="7" t="s">
        <v>56</v>
      </c>
      <c r="C42" s="40">
        <f>C43</f>
        <v>0</v>
      </c>
      <c r="D42" s="40">
        <f>D43</f>
        <v>0</v>
      </c>
      <c r="E42" s="53">
        <f>E43</f>
        <v>0</v>
      </c>
      <c r="F42" s="36">
        <v>0</v>
      </c>
      <c r="G42" s="36">
        <v>0</v>
      </c>
    </row>
    <row r="43" spans="1:7" ht="25.5" customHeight="1" thickBot="1">
      <c r="A43" s="25" t="s">
        <v>75</v>
      </c>
      <c r="B43" s="20" t="s">
        <v>57</v>
      </c>
      <c r="C43" s="72">
        <v>0</v>
      </c>
      <c r="D43" s="54">
        <v>0</v>
      </c>
      <c r="E43" s="73">
        <v>0</v>
      </c>
      <c r="F43" s="48">
        <v>0</v>
      </c>
      <c r="G43" s="47">
        <v>0</v>
      </c>
    </row>
    <row r="44" spans="1:7" ht="54" customHeight="1" thickBot="1">
      <c r="A44" s="26" t="s">
        <v>74</v>
      </c>
      <c r="B44" s="17" t="s">
        <v>91</v>
      </c>
      <c r="C44" s="71">
        <f>C45</f>
        <v>0</v>
      </c>
      <c r="D44" s="71">
        <f>D45</f>
        <v>0</v>
      </c>
      <c r="E44" s="53">
        <f>E45</f>
        <v>545.951</v>
      </c>
      <c r="F44" s="37">
        <v>0</v>
      </c>
      <c r="G44" s="36">
        <v>0</v>
      </c>
    </row>
    <row r="45" spans="1:7" ht="37.5" customHeight="1" thickBot="1">
      <c r="A45" s="25" t="s">
        <v>82</v>
      </c>
      <c r="B45" s="8" t="s">
        <v>83</v>
      </c>
      <c r="C45" s="87">
        <v>0</v>
      </c>
      <c r="D45" s="79">
        <v>0</v>
      </c>
      <c r="E45" s="73">
        <v>545.951</v>
      </c>
      <c r="F45" s="52">
        <v>0</v>
      </c>
      <c r="G45" s="47">
        <v>0</v>
      </c>
    </row>
    <row r="46" spans="1:7" ht="41.25" customHeight="1" thickBot="1">
      <c r="A46" s="26" t="s">
        <v>76</v>
      </c>
      <c r="B46" s="17" t="s">
        <v>3</v>
      </c>
      <c r="C46" s="53">
        <f>C47</f>
        <v>0</v>
      </c>
      <c r="D46" s="53">
        <f>D47</f>
        <v>0</v>
      </c>
      <c r="E46" s="53">
        <f>E47</f>
        <v>-75.856</v>
      </c>
      <c r="F46" s="37">
        <v>0</v>
      </c>
      <c r="G46" s="36">
        <v>0</v>
      </c>
    </row>
    <row r="47" spans="1:7" ht="35.25" customHeight="1" thickBot="1">
      <c r="A47" s="25" t="s">
        <v>1</v>
      </c>
      <c r="B47" s="8" t="s">
        <v>0</v>
      </c>
      <c r="C47" s="72">
        <v>0</v>
      </c>
      <c r="D47" s="79">
        <v>0</v>
      </c>
      <c r="E47" s="73">
        <v>-75.856</v>
      </c>
      <c r="F47" s="52">
        <v>0</v>
      </c>
      <c r="G47" s="47">
        <v>0</v>
      </c>
    </row>
    <row r="48" spans="1:7" ht="23.25" customHeight="1" thickBot="1">
      <c r="A48" s="15"/>
      <c r="B48" s="11" t="s">
        <v>21</v>
      </c>
      <c r="C48" s="53">
        <f>SUM(C7,C36)</f>
        <v>10904050.037</v>
      </c>
      <c r="D48" s="40">
        <f>SUM(D7,D36)</f>
        <v>2274226.767</v>
      </c>
      <c r="E48" s="53">
        <f>SUM(E7,E36)</f>
        <v>653523.424</v>
      </c>
      <c r="F48" s="36">
        <f t="shared" si="1"/>
        <v>28.736071243329974</v>
      </c>
      <c r="G48" s="36">
        <f t="shared" si="0"/>
        <v>5.993400816966555</v>
      </c>
    </row>
    <row r="49" spans="3:6" ht="12.75">
      <c r="C49" s="77"/>
      <c r="D49" s="77"/>
      <c r="E49" s="77"/>
      <c r="F49" s="77"/>
    </row>
    <row r="50" spans="3:6" ht="12.75">
      <c r="C50" s="77"/>
      <c r="D50" s="77"/>
      <c r="E50" s="77"/>
      <c r="F50" s="77"/>
    </row>
    <row r="51" spans="2:6" ht="12.75">
      <c r="B51" s="28"/>
      <c r="C51" s="77"/>
      <c r="D51" s="77"/>
      <c r="E51" s="77"/>
      <c r="F51" s="77"/>
    </row>
    <row r="52" spans="2:6" ht="12.75">
      <c r="B52" s="28"/>
      <c r="C52" s="77"/>
      <c r="D52" s="77"/>
      <c r="E52" s="77"/>
      <c r="F52" s="77"/>
    </row>
    <row r="53" spans="2:6" ht="12.75">
      <c r="B53" s="28"/>
      <c r="C53" s="77"/>
      <c r="D53" s="77"/>
      <c r="E53" s="77"/>
      <c r="F53" s="77"/>
    </row>
    <row r="54" spans="3:6" ht="12.75">
      <c r="C54" s="77"/>
      <c r="D54" s="77"/>
      <c r="E54" s="77"/>
      <c r="F54" s="77"/>
    </row>
    <row r="55" spans="3:6" ht="12.75">
      <c r="C55" s="77"/>
      <c r="D55" s="77"/>
      <c r="E55" s="77"/>
      <c r="F55" s="77"/>
    </row>
    <row r="56" spans="3:6" ht="12.75">
      <c r="C56" s="77"/>
      <c r="D56" s="77"/>
      <c r="E56" s="77"/>
      <c r="F56" s="77"/>
    </row>
  </sheetData>
  <sheetProtection/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rintOptions/>
  <pageMargins left="0.11811023622047245" right="0.11811023622047245" top="0.5905511811023623" bottom="0.1968503937007874" header="0.5905511811023623" footer="0.196850393700787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C16">
      <selection activeCell="A5" sqref="A5:A7"/>
    </sheetView>
  </sheetViews>
  <sheetFormatPr defaultColWidth="9.125" defaultRowHeight="12.75"/>
  <cols>
    <col min="1" max="1" width="84.00390625" style="214" customWidth="1"/>
    <col min="2" max="2" width="8.125" style="214" customWidth="1"/>
    <col min="3" max="3" width="9.50390625" style="214" customWidth="1"/>
    <col min="4" max="4" width="14.50390625" style="214" customWidth="1"/>
    <col min="5" max="5" width="15.00390625" style="214" customWidth="1"/>
    <col min="6" max="6" width="13.50390625" style="116" customWidth="1"/>
    <col min="7" max="8" width="13.625" style="116" hidden="1" customWidth="1"/>
    <col min="9" max="9" width="12.00390625" style="116" hidden="1" customWidth="1"/>
    <col min="10" max="10" width="15.625" style="116" customWidth="1"/>
    <col min="11" max="11" width="16.00390625" style="116" customWidth="1"/>
    <col min="12" max="12" width="13.50390625" style="116" customWidth="1"/>
    <col min="13" max="13" width="10.375" style="116" customWidth="1"/>
    <col min="14" max="14" width="10.125" style="116" customWidth="1"/>
    <col min="15" max="15" width="10.50390625" style="116" customWidth="1"/>
    <col min="16" max="16" width="9.875" style="116" hidden="1" customWidth="1"/>
    <col min="17" max="17" width="9.00390625" style="116" hidden="1" customWidth="1"/>
    <col min="18" max="18" width="10.625" style="116" hidden="1" customWidth="1"/>
    <col min="19" max="16384" width="9.125" style="117" customWidth="1"/>
  </cols>
  <sheetData>
    <row r="1" spans="1:15" ht="17.25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8" ht="17.25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8"/>
      <c r="Q2" s="117"/>
      <c r="R2" s="117"/>
    </row>
    <row r="3" spans="1:18" ht="17.25">
      <c r="A3" s="115" t="s">
        <v>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8"/>
      <c r="Q3" s="117"/>
      <c r="R3" s="117"/>
    </row>
    <row r="4" spans="1:18" ht="15.75" thickBot="1">
      <c r="A4" s="119"/>
      <c r="B4" s="119"/>
      <c r="C4" s="119"/>
      <c r="D4" s="119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s="127" customFormat="1" ht="37.5" customHeight="1">
      <c r="A5" s="121" t="s">
        <v>95</v>
      </c>
      <c r="B5" s="122" t="s">
        <v>96</v>
      </c>
      <c r="C5" s="122" t="s">
        <v>97</v>
      </c>
      <c r="D5" s="123" t="s">
        <v>98</v>
      </c>
      <c r="E5" s="123"/>
      <c r="F5" s="123"/>
      <c r="G5" s="123" t="s">
        <v>99</v>
      </c>
      <c r="H5" s="123"/>
      <c r="I5" s="123"/>
      <c r="J5" s="123" t="s">
        <v>100</v>
      </c>
      <c r="K5" s="124"/>
      <c r="L5" s="124"/>
      <c r="M5" s="123" t="s">
        <v>101</v>
      </c>
      <c r="N5" s="124"/>
      <c r="O5" s="125"/>
      <c r="P5" s="126" t="s">
        <v>102</v>
      </c>
      <c r="Q5" s="124"/>
      <c r="R5" s="125"/>
    </row>
    <row r="6" spans="1:18" s="127" customFormat="1" ht="15">
      <c r="A6" s="128"/>
      <c r="B6" s="129"/>
      <c r="C6" s="130"/>
      <c r="D6" s="131" t="s">
        <v>103</v>
      </c>
      <c r="E6" s="132" t="s">
        <v>104</v>
      </c>
      <c r="F6" s="133"/>
      <c r="G6" s="131" t="s">
        <v>103</v>
      </c>
      <c r="H6" s="132" t="s">
        <v>104</v>
      </c>
      <c r="I6" s="133"/>
      <c r="J6" s="131" t="s">
        <v>103</v>
      </c>
      <c r="K6" s="132" t="s">
        <v>104</v>
      </c>
      <c r="L6" s="133"/>
      <c r="M6" s="131" t="s">
        <v>103</v>
      </c>
      <c r="N6" s="132" t="s">
        <v>104</v>
      </c>
      <c r="O6" s="134"/>
      <c r="P6" s="135" t="s">
        <v>103</v>
      </c>
      <c r="Q6" s="132" t="s">
        <v>104</v>
      </c>
      <c r="R6" s="134"/>
    </row>
    <row r="7" spans="1:18" s="127" customFormat="1" ht="78" thickBot="1">
      <c r="A7" s="136"/>
      <c r="B7" s="137"/>
      <c r="C7" s="138"/>
      <c r="D7" s="137"/>
      <c r="E7" s="139" t="s">
        <v>105</v>
      </c>
      <c r="F7" s="139" t="s">
        <v>106</v>
      </c>
      <c r="G7" s="138"/>
      <c r="H7" s="139" t="s">
        <v>105</v>
      </c>
      <c r="I7" s="139" t="s">
        <v>106</v>
      </c>
      <c r="J7" s="138"/>
      <c r="K7" s="139" t="s">
        <v>105</v>
      </c>
      <c r="L7" s="139" t="s">
        <v>106</v>
      </c>
      <c r="M7" s="138"/>
      <c r="N7" s="139" t="s">
        <v>105</v>
      </c>
      <c r="O7" s="140" t="s">
        <v>106</v>
      </c>
      <c r="P7" s="141"/>
      <c r="Q7" s="139" t="s">
        <v>105</v>
      </c>
      <c r="R7" s="140" t="s">
        <v>106</v>
      </c>
    </row>
    <row r="8" spans="1:18" s="146" customFormat="1" ht="9.75">
      <c r="A8" s="142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/>
      <c r="H8" s="143"/>
      <c r="I8" s="143"/>
      <c r="J8" s="143">
        <v>7</v>
      </c>
      <c r="K8" s="143">
        <v>8</v>
      </c>
      <c r="L8" s="143">
        <v>9</v>
      </c>
      <c r="M8" s="143">
        <v>10</v>
      </c>
      <c r="N8" s="143">
        <v>11</v>
      </c>
      <c r="O8" s="144">
        <v>12</v>
      </c>
      <c r="P8" s="145">
        <v>10</v>
      </c>
      <c r="Q8" s="143">
        <v>11</v>
      </c>
      <c r="R8" s="144">
        <v>12</v>
      </c>
    </row>
    <row r="9" spans="1:18" s="153" customFormat="1" ht="15">
      <c r="A9" s="147" t="s">
        <v>107</v>
      </c>
      <c r="B9" s="148" t="s">
        <v>108</v>
      </c>
      <c r="C9" s="148" t="s">
        <v>109</v>
      </c>
      <c r="D9" s="149">
        <f aca="true" t="shared" si="0" ref="D9:L9">SUM(D10:D15)</f>
        <v>1371221.0599999998</v>
      </c>
      <c r="E9" s="149">
        <f t="shared" si="0"/>
        <v>1371221.0599999998</v>
      </c>
      <c r="F9" s="149">
        <f t="shared" si="0"/>
        <v>0</v>
      </c>
      <c r="G9" s="149">
        <f>SUM(G10:G15)</f>
        <v>841218.9</v>
      </c>
      <c r="H9" s="149">
        <f>SUM(H10:H15)</f>
        <v>841181.9</v>
      </c>
      <c r="I9" s="149">
        <f t="shared" si="0"/>
        <v>37</v>
      </c>
      <c r="J9" s="149">
        <f t="shared" si="0"/>
        <v>161114.84</v>
      </c>
      <c r="K9" s="149">
        <f t="shared" si="0"/>
        <v>161114.84</v>
      </c>
      <c r="L9" s="149">
        <f t="shared" si="0"/>
        <v>0</v>
      </c>
      <c r="M9" s="150">
        <f>SUM(J9/D9)*100</f>
        <v>11.749734940622924</v>
      </c>
      <c r="N9" s="150">
        <f>SUM(K9/E9)*100</f>
        <v>11.749734940622924</v>
      </c>
      <c r="O9" s="151">
        <v>0</v>
      </c>
      <c r="P9" s="152">
        <f>SUM(J9/G9)*100</f>
        <v>19.15254638239821</v>
      </c>
      <c r="Q9" s="150">
        <f>SUM(K9/H9)*100</f>
        <v>19.153388821133692</v>
      </c>
      <c r="R9" s="150">
        <v>0</v>
      </c>
    </row>
    <row r="10" spans="1:18" s="161" customFormat="1" ht="30.75">
      <c r="A10" s="154" t="s">
        <v>110</v>
      </c>
      <c r="B10" s="155" t="s">
        <v>108</v>
      </c>
      <c r="C10" s="156" t="s">
        <v>111</v>
      </c>
      <c r="D10" s="157">
        <v>37315.31</v>
      </c>
      <c r="E10" s="157">
        <f aca="true" t="shared" si="1" ref="E10:E15">D10-F10</f>
        <v>37315.31</v>
      </c>
      <c r="F10" s="157"/>
      <c r="G10" s="157">
        <f>4208-102</f>
        <v>4106</v>
      </c>
      <c r="H10" s="157">
        <f>G10-I10</f>
        <v>4106</v>
      </c>
      <c r="I10" s="157"/>
      <c r="J10" s="157">
        <v>4765.95</v>
      </c>
      <c r="K10" s="157">
        <f>J10-L10</f>
        <v>4765.95</v>
      </c>
      <c r="L10" s="157"/>
      <c r="M10" s="158">
        <f aca="true" t="shared" si="2" ref="M10:N15">(J10/D10)*100</f>
        <v>12.772103461019082</v>
      </c>
      <c r="N10" s="158">
        <f t="shared" si="2"/>
        <v>12.772103461019082</v>
      </c>
      <c r="O10" s="159"/>
      <c r="P10" s="160">
        <f>(J10/G10)*100</f>
        <v>116.07282026302971</v>
      </c>
      <c r="Q10" s="158">
        <f>(K10/H10)*100</f>
        <v>116.07282026302971</v>
      </c>
      <c r="R10" s="159"/>
    </row>
    <row r="11" spans="1:18" s="161" customFormat="1" ht="46.5">
      <c r="A11" s="162" t="s">
        <v>112</v>
      </c>
      <c r="B11" s="155" t="s">
        <v>108</v>
      </c>
      <c r="C11" s="156" t="s">
        <v>113</v>
      </c>
      <c r="D11" s="157">
        <v>830201.59</v>
      </c>
      <c r="E11" s="157">
        <f t="shared" si="1"/>
        <v>830201.59</v>
      </c>
      <c r="F11" s="157"/>
      <c r="G11" s="157">
        <f>657635.8-84467.5</f>
        <v>573168.3</v>
      </c>
      <c r="H11" s="157">
        <f aca="true" t="shared" si="3" ref="H11:H51">G11-I11</f>
        <v>573168.3</v>
      </c>
      <c r="I11" s="157"/>
      <c r="J11" s="157">
        <v>119598.01</v>
      </c>
      <c r="K11" s="157">
        <f aca="true" t="shared" si="4" ref="K11:K56">J11-L11</f>
        <v>119598.01</v>
      </c>
      <c r="L11" s="157"/>
      <c r="M11" s="158">
        <f t="shared" si="2"/>
        <v>14.405899897156305</v>
      </c>
      <c r="N11" s="158">
        <f t="shared" si="2"/>
        <v>14.405899897156305</v>
      </c>
      <c r="O11" s="159"/>
      <c r="P11" s="160">
        <f>(J11/G11)*100</f>
        <v>20.866124312876337</v>
      </c>
      <c r="Q11" s="158">
        <f>(K11/H11)*100</f>
        <v>20.866124312876337</v>
      </c>
      <c r="R11" s="159"/>
    </row>
    <row r="12" spans="1:18" s="161" customFormat="1" ht="15">
      <c r="A12" s="163" t="s">
        <v>114</v>
      </c>
      <c r="B12" s="155" t="s">
        <v>108</v>
      </c>
      <c r="C12" s="156" t="s">
        <v>115</v>
      </c>
      <c r="D12" s="157">
        <v>673.9</v>
      </c>
      <c r="E12" s="157">
        <f t="shared" si="1"/>
        <v>673.9</v>
      </c>
      <c r="F12" s="157"/>
      <c r="G12" s="157"/>
      <c r="H12" s="157"/>
      <c r="I12" s="157"/>
      <c r="J12" s="157">
        <v>0</v>
      </c>
      <c r="K12" s="157">
        <f t="shared" si="4"/>
        <v>0</v>
      </c>
      <c r="L12" s="157"/>
      <c r="M12" s="158">
        <f t="shared" si="2"/>
        <v>0</v>
      </c>
      <c r="N12" s="158">
        <f>(K12/E12)*100</f>
        <v>0</v>
      </c>
      <c r="O12" s="159"/>
      <c r="P12" s="160"/>
      <c r="Q12" s="158"/>
      <c r="R12" s="159"/>
    </row>
    <row r="13" spans="1:18" s="161" customFormat="1" ht="30.75">
      <c r="A13" s="162" t="s">
        <v>116</v>
      </c>
      <c r="B13" s="155" t="s">
        <v>108</v>
      </c>
      <c r="C13" s="156" t="s">
        <v>117</v>
      </c>
      <c r="D13" s="157">
        <v>15606.32</v>
      </c>
      <c r="E13" s="157">
        <f t="shared" si="1"/>
        <v>15606.32</v>
      </c>
      <c r="F13" s="157"/>
      <c r="G13" s="157">
        <f>7852.3-907.2</f>
        <v>6945.1</v>
      </c>
      <c r="H13" s="157">
        <f t="shared" si="3"/>
        <v>6945.1</v>
      </c>
      <c r="I13" s="157"/>
      <c r="J13" s="157">
        <v>1567.24</v>
      </c>
      <c r="K13" s="157">
        <f t="shared" si="4"/>
        <v>1567.24</v>
      </c>
      <c r="L13" s="157"/>
      <c r="M13" s="158">
        <f t="shared" si="2"/>
        <v>10.042341820493236</v>
      </c>
      <c r="N13" s="158">
        <f t="shared" si="2"/>
        <v>10.042341820493236</v>
      </c>
      <c r="O13" s="159"/>
      <c r="P13" s="160">
        <f aca="true" t="shared" si="5" ref="P13:Q15">(J13/G13)*100</f>
        <v>22.566125757728468</v>
      </c>
      <c r="Q13" s="158">
        <f t="shared" si="5"/>
        <v>22.566125757728468</v>
      </c>
      <c r="R13" s="159"/>
    </row>
    <row r="14" spans="1:18" s="161" customFormat="1" ht="15">
      <c r="A14" s="162" t="s">
        <v>118</v>
      </c>
      <c r="B14" s="155" t="s">
        <v>108</v>
      </c>
      <c r="C14" s="156" t="s">
        <v>119</v>
      </c>
      <c r="D14" s="157">
        <v>95561.02</v>
      </c>
      <c r="E14" s="157">
        <f t="shared" si="1"/>
        <v>95561.02</v>
      </c>
      <c r="F14" s="157"/>
      <c r="G14" s="157">
        <f>41503.8-26190.6</f>
        <v>15313.200000000004</v>
      </c>
      <c r="H14" s="157">
        <f t="shared" si="3"/>
        <v>15313.200000000004</v>
      </c>
      <c r="I14" s="157"/>
      <c r="J14" s="157">
        <v>0</v>
      </c>
      <c r="K14" s="157">
        <f t="shared" si="4"/>
        <v>0</v>
      </c>
      <c r="L14" s="157"/>
      <c r="M14" s="158">
        <f t="shared" si="2"/>
        <v>0</v>
      </c>
      <c r="N14" s="158">
        <f t="shared" si="2"/>
        <v>0</v>
      </c>
      <c r="O14" s="159"/>
      <c r="P14" s="160">
        <f t="shared" si="5"/>
        <v>0</v>
      </c>
      <c r="Q14" s="158">
        <f t="shared" si="5"/>
        <v>0</v>
      </c>
      <c r="R14" s="159"/>
    </row>
    <row r="15" spans="1:18" s="161" customFormat="1" ht="15">
      <c r="A15" s="162" t="s">
        <v>120</v>
      </c>
      <c r="B15" s="155" t="s">
        <v>108</v>
      </c>
      <c r="C15" s="156" t="s">
        <v>121</v>
      </c>
      <c r="D15" s="157">
        <v>391862.92</v>
      </c>
      <c r="E15" s="157">
        <f t="shared" si="1"/>
        <v>391862.92</v>
      </c>
      <c r="F15" s="157"/>
      <c r="G15" s="157">
        <f>308152.2-66465.9</f>
        <v>241686.30000000002</v>
      </c>
      <c r="H15" s="157">
        <f t="shared" si="3"/>
        <v>241649.30000000002</v>
      </c>
      <c r="I15" s="157">
        <v>37</v>
      </c>
      <c r="J15" s="157">
        <v>35183.64</v>
      </c>
      <c r="K15" s="157">
        <f t="shared" si="4"/>
        <v>35183.64</v>
      </c>
      <c r="L15" s="157"/>
      <c r="M15" s="158">
        <f t="shared" si="2"/>
        <v>8.978558114148692</v>
      </c>
      <c r="N15" s="158">
        <f t="shared" si="2"/>
        <v>8.978558114148692</v>
      </c>
      <c r="O15" s="159"/>
      <c r="P15" s="160">
        <f t="shared" si="5"/>
        <v>14.557564909554245</v>
      </c>
      <c r="Q15" s="158">
        <f t="shared" si="5"/>
        <v>14.559793883119049</v>
      </c>
      <c r="R15" s="159">
        <f>ROUND(L15/I15*100,1)</f>
        <v>0</v>
      </c>
    </row>
    <row r="16" spans="1:18" s="161" customFormat="1" ht="30.75">
      <c r="A16" s="147" t="s">
        <v>122</v>
      </c>
      <c r="B16" s="148" t="s">
        <v>123</v>
      </c>
      <c r="C16" s="148" t="s">
        <v>109</v>
      </c>
      <c r="D16" s="149">
        <f aca="true" t="shared" si="6" ref="D16:L16">SUM(D17:D18)</f>
        <v>63205.53999999999</v>
      </c>
      <c r="E16" s="149">
        <f t="shared" si="6"/>
        <v>63205.53999999999</v>
      </c>
      <c r="F16" s="149">
        <f t="shared" si="6"/>
        <v>0</v>
      </c>
      <c r="G16" s="149">
        <f t="shared" si="6"/>
        <v>566186.2</v>
      </c>
      <c r="H16" s="149">
        <f t="shared" si="6"/>
        <v>566186.2</v>
      </c>
      <c r="I16" s="149">
        <f t="shared" si="6"/>
        <v>0</v>
      </c>
      <c r="J16" s="149">
        <f t="shared" si="6"/>
        <v>3469.67</v>
      </c>
      <c r="K16" s="149">
        <f t="shared" si="6"/>
        <v>3469.67</v>
      </c>
      <c r="L16" s="149">
        <f t="shared" si="6"/>
        <v>0</v>
      </c>
      <c r="M16" s="150">
        <f>SUM(J16/D16)*100</f>
        <v>5.48950297711245</v>
      </c>
      <c r="N16" s="150">
        <f>SUM(K16/E16)*100</f>
        <v>5.48950297711245</v>
      </c>
      <c r="O16" s="151">
        <v>0</v>
      </c>
      <c r="P16" s="152">
        <f>SUM(J16/G16)*100</f>
        <v>0.6128143003132186</v>
      </c>
      <c r="Q16" s="150">
        <f>SUM(K16/H16)*100</f>
        <v>0.6128143003132186</v>
      </c>
      <c r="R16" s="151">
        <v>0</v>
      </c>
    </row>
    <row r="17" spans="1:18" s="161" customFormat="1" ht="15">
      <c r="A17" s="154" t="s">
        <v>124</v>
      </c>
      <c r="B17" s="155" t="s">
        <v>123</v>
      </c>
      <c r="C17" s="156" t="s">
        <v>113</v>
      </c>
      <c r="D17" s="164">
        <v>23450.8</v>
      </c>
      <c r="E17" s="157">
        <f>D17-F17</f>
        <v>23450.8</v>
      </c>
      <c r="F17" s="164"/>
      <c r="G17" s="164">
        <f>699913.7-155694.1</f>
        <v>544219.6</v>
      </c>
      <c r="H17" s="157">
        <f t="shared" si="3"/>
        <v>544219.6</v>
      </c>
      <c r="I17" s="164"/>
      <c r="J17" s="157">
        <v>2025.5</v>
      </c>
      <c r="K17" s="157">
        <f t="shared" si="4"/>
        <v>2025.5</v>
      </c>
      <c r="L17" s="157"/>
      <c r="M17" s="158">
        <f>(J17/D17)*100</f>
        <v>8.637231992085557</v>
      </c>
      <c r="N17" s="158">
        <f>(K17/E17)*100</f>
        <v>8.637231992085557</v>
      </c>
      <c r="O17" s="159"/>
      <c r="P17" s="160">
        <f>(J17/G17)*100</f>
        <v>0.37218431677212654</v>
      </c>
      <c r="Q17" s="158">
        <f>(K17/H17)*100</f>
        <v>0.37218431677212654</v>
      </c>
      <c r="R17" s="159"/>
    </row>
    <row r="18" spans="1:18" s="161" customFormat="1" ht="30.75">
      <c r="A18" s="154" t="s">
        <v>125</v>
      </c>
      <c r="B18" s="155" t="s">
        <v>123</v>
      </c>
      <c r="C18" s="156" t="s">
        <v>126</v>
      </c>
      <c r="D18" s="164">
        <v>39754.74</v>
      </c>
      <c r="E18" s="157">
        <f>D18-F18</f>
        <v>39754.74</v>
      </c>
      <c r="F18" s="164"/>
      <c r="G18" s="164">
        <f>29154.7-7188.1</f>
        <v>21966.6</v>
      </c>
      <c r="H18" s="157">
        <f t="shared" si="3"/>
        <v>21966.6</v>
      </c>
      <c r="I18" s="164"/>
      <c r="J18" s="157">
        <v>1444.17</v>
      </c>
      <c r="K18" s="157">
        <f t="shared" si="4"/>
        <v>1444.17</v>
      </c>
      <c r="L18" s="157"/>
      <c r="M18" s="158">
        <f>(J18/D18)*100</f>
        <v>3.632698893264049</v>
      </c>
      <c r="N18" s="158">
        <f>(K18/E18)*100</f>
        <v>3.632698893264049</v>
      </c>
      <c r="O18" s="159"/>
      <c r="P18" s="160">
        <f>(J18/G18)*100</f>
        <v>6.574390210592446</v>
      </c>
      <c r="Q18" s="158">
        <f>(K18/H18)*100</f>
        <v>6.574390210592446</v>
      </c>
      <c r="R18" s="159"/>
    </row>
    <row r="19" spans="1:18" s="161" customFormat="1" ht="15">
      <c r="A19" s="147" t="s">
        <v>127</v>
      </c>
      <c r="B19" s="148" t="s">
        <v>113</v>
      </c>
      <c r="C19" s="148" t="s">
        <v>109</v>
      </c>
      <c r="D19" s="149">
        <f>SUM(D20:D24)</f>
        <v>1341869.6300000001</v>
      </c>
      <c r="E19" s="149">
        <f aca="true" t="shared" si="7" ref="E19:L19">SUM(E20:E24)</f>
        <v>1204303.59</v>
      </c>
      <c r="F19" s="149">
        <f t="shared" si="7"/>
        <v>137566.04</v>
      </c>
      <c r="G19" s="149">
        <f t="shared" si="7"/>
        <v>18852.300000000003</v>
      </c>
      <c r="H19" s="149">
        <f t="shared" si="7"/>
        <v>13451.300000000001</v>
      </c>
      <c r="I19" s="149">
        <f t="shared" si="7"/>
        <v>5401</v>
      </c>
      <c r="J19" s="149">
        <f t="shared" si="7"/>
        <v>79452.41</v>
      </c>
      <c r="K19" s="149">
        <f t="shared" si="7"/>
        <v>79452.41</v>
      </c>
      <c r="L19" s="149">
        <f t="shared" si="7"/>
        <v>0</v>
      </c>
      <c r="M19" s="150">
        <f>SUM(J19/D19)*100</f>
        <v>5.921023043050762</v>
      </c>
      <c r="N19" s="150">
        <f>SUM(K19/E19)*100</f>
        <v>6.597373839930179</v>
      </c>
      <c r="O19" s="151">
        <v>0</v>
      </c>
      <c r="P19" s="152">
        <f>SUM(J19/G19)*100</f>
        <v>421.4467730727815</v>
      </c>
      <c r="Q19" s="150">
        <f>SUM(K19/H19)*100</f>
        <v>590.6671474132612</v>
      </c>
      <c r="R19" s="151"/>
    </row>
    <row r="20" spans="1:18" s="172" customFormat="1" ht="15">
      <c r="A20" s="165" t="s">
        <v>128</v>
      </c>
      <c r="B20" s="166" t="s">
        <v>113</v>
      </c>
      <c r="C20" s="166" t="s">
        <v>108</v>
      </c>
      <c r="D20" s="167">
        <v>500</v>
      </c>
      <c r="E20" s="157">
        <f>D20-F20</f>
        <v>500</v>
      </c>
      <c r="F20" s="167"/>
      <c r="G20" s="167"/>
      <c r="H20" s="167"/>
      <c r="I20" s="167"/>
      <c r="J20" s="167">
        <v>0</v>
      </c>
      <c r="K20" s="157">
        <f t="shared" si="4"/>
        <v>0</v>
      </c>
      <c r="L20" s="167"/>
      <c r="M20" s="158">
        <f aca="true" t="shared" si="8" ref="M20:N23">(J20/D20)*100</f>
        <v>0</v>
      </c>
      <c r="N20" s="158">
        <f t="shared" si="8"/>
        <v>0</v>
      </c>
      <c r="O20" s="168"/>
      <c r="P20" s="169"/>
      <c r="Q20" s="170"/>
      <c r="R20" s="171"/>
    </row>
    <row r="21" spans="1:18" s="161" customFormat="1" ht="15">
      <c r="A21" s="162" t="s">
        <v>129</v>
      </c>
      <c r="B21" s="155" t="s">
        <v>113</v>
      </c>
      <c r="C21" s="156" t="s">
        <v>115</v>
      </c>
      <c r="D21" s="157">
        <v>42236</v>
      </c>
      <c r="E21" s="157">
        <f>D21-F21</f>
        <v>42236</v>
      </c>
      <c r="F21" s="157"/>
      <c r="G21" s="157">
        <f>2583.6</f>
        <v>2583.6</v>
      </c>
      <c r="H21" s="157">
        <f t="shared" si="3"/>
        <v>2583.6</v>
      </c>
      <c r="I21" s="157"/>
      <c r="J21" s="157">
        <v>0</v>
      </c>
      <c r="K21" s="157">
        <f t="shared" si="4"/>
        <v>0</v>
      </c>
      <c r="L21" s="157"/>
      <c r="M21" s="158">
        <f t="shared" si="8"/>
        <v>0</v>
      </c>
      <c r="N21" s="158">
        <f t="shared" si="8"/>
        <v>0</v>
      </c>
      <c r="O21" s="159"/>
      <c r="P21" s="160">
        <f aca="true" t="shared" si="9" ref="P21:Q24">(J21/G21)*100</f>
        <v>0</v>
      </c>
      <c r="Q21" s="158">
        <f t="shared" si="9"/>
        <v>0</v>
      </c>
      <c r="R21" s="159"/>
    </row>
    <row r="22" spans="1:18" s="161" customFormat="1" ht="15">
      <c r="A22" s="162" t="s">
        <v>130</v>
      </c>
      <c r="B22" s="155" t="s">
        <v>113</v>
      </c>
      <c r="C22" s="156" t="s">
        <v>131</v>
      </c>
      <c r="D22" s="157">
        <v>413583.2</v>
      </c>
      <c r="E22" s="157">
        <f>D22-F22</f>
        <v>413583.2</v>
      </c>
      <c r="F22" s="157"/>
      <c r="G22" s="157">
        <f>10534-5133</f>
        <v>5401</v>
      </c>
      <c r="H22" s="157">
        <f t="shared" si="3"/>
        <v>0</v>
      </c>
      <c r="I22" s="157">
        <f>10534-5133</f>
        <v>5401</v>
      </c>
      <c r="J22" s="157">
        <v>61913.46</v>
      </c>
      <c r="K22" s="157">
        <f t="shared" si="4"/>
        <v>61913.46</v>
      </c>
      <c r="L22" s="157"/>
      <c r="M22" s="158">
        <f t="shared" si="8"/>
        <v>14.970013288740935</v>
      </c>
      <c r="N22" s="158">
        <f t="shared" si="8"/>
        <v>14.970013288740935</v>
      </c>
      <c r="O22" s="159"/>
      <c r="P22" s="160">
        <f t="shared" si="9"/>
        <v>1146.3332716163673</v>
      </c>
      <c r="Q22" s="158">
        <v>0</v>
      </c>
      <c r="R22" s="159">
        <f>ROUND(L22/I22*100,1)</f>
        <v>0</v>
      </c>
    </row>
    <row r="23" spans="1:18" s="161" customFormat="1" ht="15">
      <c r="A23" s="162" t="s">
        <v>132</v>
      </c>
      <c r="B23" s="155" t="s">
        <v>113</v>
      </c>
      <c r="C23" s="156" t="s">
        <v>126</v>
      </c>
      <c r="D23" s="157">
        <v>828379.33</v>
      </c>
      <c r="E23" s="157">
        <f>D23-F23</f>
        <v>690813.2899999999</v>
      </c>
      <c r="F23" s="157">
        <v>137566.04</v>
      </c>
      <c r="G23" s="157"/>
      <c r="H23" s="157"/>
      <c r="I23" s="157"/>
      <c r="J23" s="157">
        <v>17538.95</v>
      </c>
      <c r="K23" s="157">
        <f t="shared" si="4"/>
        <v>17538.95</v>
      </c>
      <c r="L23" s="157"/>
      <c r="M23" s="158">
        <f>(J23/D23)*100</f>
        <v>2.1172606998776757</v>
      </c>
      <c r="N23" s="158">
        <f t="shared" si="8"/>
        <v>2.5388842765315074</v>
      </c>
      <c r="O23" s="159"/>
      <c r="P23" s="160"/>
      <c r="Q23" s="158"/>
      <c r="R23" s="159"/>
    </row>
    <row r="24" spans="1:18" s="161" customFormat="1" ht="15">
      <c r="A24" s="162" t="s">
        <v>133</v>
      </c>
      <c r="B24" s="155" t="s">
        <v>113</v>
      </c>
      <c r="C24" s="156" t="s">
        <v>134</v>
      </c>
      <c r="D24" s="157">
        <v>57171.1</v>
      </c>
      <c r="E24" s="157">
        <f>D24-F24</f>
        <v>57171.1</v>
      </c>
      <c r="F24" s="157"/>
      <c r="G24" s="157">
        <f>15316.7-4449</f>
        <v>10867.7</v>
      </c>
      <c r="H24" s="157">
        <f t="shared" si="3"/>
        <v>10867.7</v>
      </c>
      <c r="I24" s="157"/>
      <c r="J24" s="157">
        <v>0</v>
      </c>
      <c r="K24" s="157">
        <f t="shared" si="4"/>
        <v>0</v>
      </c>
      <c r="L24" s="157"/>
      <c r="M24" s="158">
        <f>(J24/D24)*100</f>
        <v>0</v>
      </c>
      <c r="N24" s="158">
        <f>(K24/E24)*100</f>
        <v>0</v>
      </c>
      <c r="O24" s="159"/>
      <c r="P24" s="160">
        <f t="shared" si="9"/>
        <v>0</v>
      </c>
      <c r="Q24" s="158">
        <f t="shared" si="9"/>
        <v>0</v>
      </c>
      <c r="R24" s="159"/>
    </row>
    <row r="25" spans="1:18" s="161" customFormat="1" ht="15">
      <c r="A25" s="147" t="s">
        <v>135</v>
      </c>
      <c r="B25" s="148" t="s">
        <v>115</v>
      </c>
      <c r="C25" s="148" t="s">
        <v>109</v>
      </c>
      <c r="D25" s="149">
        <f aca="true" t="shared" si="10" ref="D25:L25">SUM(D26:D29)</f>
        <v>942043.16</v>
      </c>
      <c r="E25" s="149">
        <f t="shared" si="10"/>
        <v>525291.98</v>
      </c>
      <c r="F25" s="149">
        <f t="shared" si="10"/>
        <v>416751.18</v>
      </c>
      <c r="G25" s="149">
        <f>SUM(G26:G29)</f>
        <v>1419171.2999999998</v>
      </c>
      <c r="H25" s="149">
        <f>SUM(H26:H29)</f>
        <v>903762.8999999999</v>
      </c>
      <c r="I25" s="149">
        <f>SUM(I26:I29)</f>
        <v>515408.39999999997</v>
      </c>
      <c r="J25" s="149">
        <f t="shared" si="10"/>
        <v>1759.83</v>
      </c>
      <c r="K25" s="149">
        <f t="shared" si="10"/>
        <v>1759.83</v>
      </c>
      <c r="L25" s="149">
        <f t="shared" si="10"/>
        <v>0</v>
      </c>
      <c r="M25" s="150">
        <f>SUM(J25/D25)*100</f>
        <v>0.1868099121912843</v>
      </c>
      <c r="N25" s="150">
        <f>SUM(K25/E25)*100</f>
        <v>0.3350193924529364</v>
      </c>
      <c r="O25" s="173">
        <f>ROUND(L25/F25*100,1)</f>
        <v>0</v>
      </c>
      <c r="P25" s="152">
        <f>SUM(J25/G25)*100</f>
        <v>0.1240040578610912</v>
      </c>
      <c r="Q25" s="150">
        <f>SUM(K25/H25)*100</f>
        <v>0.19472253176137239</v>
      </c>
      <c r="R25" s="151">
        <f>SUM(L25/I25)*100</f>
        <v>0</v>
      </c>
    </row>
    <row r="26" spans="1:18" s="175" customFormat="1" ht="15">
      <c r="A26" s="174" t="s">
        <v>136</v>
      </c>
      <c r="B26" s="155" t="s">
        <v>115</v>
      </c>
      <c r="C26" s="156" t="s">
        <v>108</v>
      </c>
      <c r="D26" s="164">
        <v>311722.38</v>
      </c>
      <c r="E26" s="157">
        <f>D26-F26</f>
        <v>311722.38</v>
      </c>
      <c r="F26" s="164"/>
      <c r="G26" s="164">
        <f>732293.7-208085.1</f>
        <v>524208.6</v>
      </c>
      <c r="H26" s="157">
        <f t="shared" si="3"/>
        <v>322551.5</v>
      </c>
      <c r="I26" s="164">
        <f>279086.6-77429.5</f>
        <v>201657.09999999998</v>
      </c>
      <c r="J26" s="157">
        <v>95.78</v>
      </c>
      <c r="K26" s="157">
        <f t="shared" si="4"/>
        <v>95.78</v>
      </c>
      <c r="L26" s="157"/>
      <c r="M26" s="158">
        <f>(J26/D26)*100</f>
        <v>0.030726058231686795</v>
      </c>
      <c r="N26" s="158">
        <f aca="true" t="shared" si="11" ref="N26:O31">(K26/E26)*100</f>
        <v>0.030726058231686795</v>
      </c>
      <c r="O26" s="159"/>
      <c r="P26" s="160">
        <f aca="true" t="shared" si="12" ref="P26:Q29">(J26/G26)*100</f>
        <v>0.018271352282278466</v>
      </c>
      <c r="Q26" s="158">
        <f t="shared" si="12"/>
        <v>0.029694482896529702</v>
      </c>
      <c r="R26" s="159">
        <f>ROUND(L26/I26*100,1)</f>
        <v>0</v>
      </c>
    </row>
    <row r="27" spans="1:18" s="176" customFormat="1" ht="15">
      <c r="A27" s="162" t="s">
        <v>137</v>
      </c>
      <c r="B27" s="155" t="s">
        <v>115</v>
      </c>
      <c r="C27" s="156" t="s">
        <v>111</v>
      </c>
      <c r="D27" s="164">
        <v>480314.95</v>
      </c>
      <c r="E27" s="157">
        <f>D27-F27</f>
        <v>63683.600000000035</v>
      </c>
      <c r="F27" s="164">
        <v>416631.35</v>
      </c>
      <c r="G27" s="164">
        <f>512955.2-109671.6</f>
        <v>403283.6</v>
      </c>
      <c r="H27" s="157">
        <f t="shared" si="3"/>
        <v>100385.5</v>
      </c>
      <c r="I27" s="164">
        <f>403712.7-100814.6</f>
        <v>302898.1</v>
      </c>
      <c r="J27" s="157">
        <v>0</v>
      </c>
      <c r="K27" s="157">
        <f t="shared" si="4"/>
        <v>0</v>
      </c>
      <c r="L27" s="157"/>
      <c r="M27" s="158">
        <f>(J27/D27)*100</f>
        <v>0</v>
      </c>
      <c r="N27" s="158">
        <f t="shared" si="11"/>
        <v>0</v>
      </c>
      <c r="O27" s="159">
        <f t="shared" si="11"/>
        <v>0</v>
      </c>
      <c r="P27" s="160">
        <f t="shared" si="12"/>
        <v>0</v>
      </c>
      <c r="Q27" s="158">
        <f t="shared" si="12"/>
        <v>0</v>
      </c>
      <c r="R27" s="159">
        <f>ROUND(L27/I27*100,1)</f>
        <v>0</v>
      </c>
    </row>
    <row r="28" spans="1:18" s="176" customFormat="1" ht="15">
      <c r="A28" s="162" t="s">
        <v>138</v>
      </c>
      <c r="B28" s="155" t="s">
        <v>115</v>
      </c>
      <c r="C28" s="156" t="s">
        <v>123</v>
      </c>
      <c r="D28" s="164">
        <v>148825.83</v>
      </c>
      <c r="E28" s="157">
        <f>D28-F28</f>
        <v>148706</v>
      </c>
      <c r="F28" s="164">
        <v>119.83</v>
      </c>
      <c r="G28" s="164">
        <f>659134.5-167555.4</f>
        <v>491579.1</v>
      </c>
      <c r="H28" s="157">
        <f>G28-I28</f>
        <v>480725.89999999997</v>
      </c>
      <c r="I28" s="164">
        <f>45146.6-34293.4</f>
        <v>10853.199999999997</v>
      </c>
      <c r="J28" s="157">
        <v>1664.05</v>
      </c>
      <c r="K28" s="157">
        <f>J28-L28</f>
        <v>1664.05</v>
      </c>
      <c r="L28" s="157"/>
      <c r="M28" s="158">
        <f>(J28/D28)*100</f>
        <v>1.1181190791947877</v>
      </c>
      <c r="N28" s="158">
        <f t="shared" si="11"/>
        <v>1.1190200798891774</v>
      </c>
      <c r="O28" s="159">
        <f t="shared" si="11"/>
        <v>0</v>
      </c>
      <c r="P28" s="160">
        <f t="shared" si="12"/>
        <v>0.33851113686485046</v>
      </c>
      <c r="Q28" s="158">
        <f t="shared" si="12"/>
        <v>0.34615359813149243</v>
      </c>
      <c r="R28" s="159">
        <f>ROUND(L28/I28*100,1)</f>
        <v>0</v>
      </c>
    </row>
    <row r="29" spans="1:18" s="176" customFormat="1" ht="15">
      <c r="A29" s="162" t="s">
        <v>139</v>
      </c>
      <c r="B29" s="155" t="s">
        <v>115</v>
      </c>
      <c r="C29" s="156" t="s">
        <v>115</v>
      </c>
      <c r="D29" s="164">
        <v>1180</v>
      </c>
      <c r="E29" s="157">
        <f>D29-F29</f>
        <v>1180</v>
      </c>
      <c r="F29" s="164"/>
      <c r="G29" s="164">
        <v>100</v>
      </c>
      <c r="H29" s="157">
        <f>G29-I29</f>
        <v>100</v>
      </c>
      <c r="I29" s="164"/>
      <c r="J29" s="157">
        <v>0</v>
      </c>
      <c r="K29" s="157">
        <f>J29-L29</f>
        <v>0</v>
      </c>
      <c r="L29" s="157"/>
      <c r="M29" s="158">
        <f>(J29/D29)*100</f>
        <v>0</v>
      </c>
      <c r="N29" s="158">
        <f t="shared" si="11"/>
        <v>0</v>
      </c>
      <c r="O29" s="159"/>
      <c r="P29" s="160">
        <f t="shared" si="12"/>
        <v>0</v>
      </c>
      <c r="Q29" s="158">
        <f t="shared" si="12"/>
        <v>0</v>
      </c>
      <c r="R29" s="159"/>
    </row>
    <row r="30" spans="1:18" s="176" customFormat="1" ht="15">
      <c r="A30" s="147" t="s">
        <v>140</v>
      </c>
      <c r="B30" s="177" t="s">
        <v>117</v>
      </c>
      <c r="C30" s="177" t="s">
        <v>109</v>
      </c>
      <c r="D30" s="149">
        <f>D31</f>
        <v>2939</v>
      </c>
      <c r="E30" s="149">
        <f aca="true" t="shared" si="13" ref="E30:L30">E31</f>
        <v>2775</v>
      </c>
      <c r="F30" s="149">
        <f t="shared" si="13"/>
        <v>164</v>
      </c>
      <c r="G30" s="149">
        <f t="shared" si="13"/>
        <v>3039.8</v>
      </c>
      <c r="H30" s="149">
        <f t="shared" si="13"/>
        <v>2942</v>
      </c>
      <c r="I30" s="149">
        <f t="shared" si="13"/>
        <v>97.8</v>
      </c>
      <c r="J30" s="149">
        <f t="shared" si="13"/>
        <v>0</v>
      </c>
      <c r="K30" s="149">
        <f t="shared" si="13"/>
        <v>0</v>
      </c>
      <c r="L30" s="149">
        <f t="shared" si="13"/>
        <v>0</v>
      </c>
      <c r="M30" s="150">
        <f>SUM(J30/D30)*100</f>
        <v>0</v>
      </c>
      <c r="N30" s="150">
        <f>SUM(K30/E30)*100</f>
        <v>0</v>
      </c>
      <c r="O30" s="150">
        <f>SUM(L30/F30)*100</f>
        <v>0</v>
      </c>
      <c r="P30" s="152">
        <f>SUM(J30/G30)*100</f>
        <v>0</v>
      </c>
      <c r="Q30" s="150">
        <f>SUM(K30/H30)*100</f>
        <v>0</v>
      </c>
      <c r="R30" s="150">
        <f>SUM(L30/I30)*100</f>
        <v>0</v>
      </c>
    </row>
    <row r="31" spans="1:18" s="176" customFormat="1" ht="15">
      <c r="A31" s="162" t="s">
        <v>141</v>
      </c>
      <c r="B31" s="155" t="s">
        <v>117</v>
      </c>
      <c r="C31" s="156" t="s">
        <v>115</v>
      </c>
      <c r="D31" s="164">
        <v>2939</v>
      </c>
      <c r="E31" s="157">
        <f>D31-F31</f>
        <v>2775</v>
      </c>
      <c r="F31" s="164">
        <v>164</v>
      </c>
      <c r="G31" s="164">
        <f>3697.8-658</f>
        <v>3039.8</v>
      </c>
      <c r="H31" s="157">
        <f t="shared" si="3"/>
        <v>2942</v>
      </c>
      <c r="I31" s="164">
        <f>97.8</f>
        <v>97.8</v>
      </c>
      <c r="J31" s="157">
        <v>0</v>
      </c>
      <c r="K31" s="157">
        <f>J31-L31</f>
        <v>0</v>
      </c>
      <c r="L31" s="157"/>
      <c r="M31" s="158">
        <f>(J31/D31)*100</f>
        <v>0</v>
      </c>
      <c r="N31" s="158">
        <f>(K31/E31)*100</f>
        <v>0</v>
      </c>
      <c r="O31" s="159">
        <f t="shared" si="11"/>
        <v>0</v>
      </c>
      <c r="P31" s="160">
        <f>(J31/G31)*100</f>
        <v>0</v>
      </c>
      <c r="Q31" s="158">
        <f>(K31/H31)*100</f>
        <v>0</v>
      </c>
      <c r="R31" s="159">
        <f>ROUND(L31/I31*100,1)</f>
        <v>0</v>
      </c>
    </row>
    <row r="32" spans="1:18" s="153" customFormat="1" ht="15">
      <c r="A32" s="147" t="s">
        <v>142</v>
      </c>
      <c r="B32" s="148" t="s">
        <v>143</v>
      </c>
      <c r="C32" s="148" t="s">
        <v>109</v>
      </c>
      <c r="D32" s="149">
        <f aca="true" t="shared" si="14" ref="D32:L32">SUM(D33:D36)</f>
        <v>5914707.129999999</v>
      </c>
      <c r="E32" s="149">
        <f t="shared" si="14"/>
        <v>5754296.159999999</v>
      </c>
      <c r="F32" s="149">
        <f t="shared" si="14"/>
        <v>160410.97</v>
      </c>
      <c r="G32" s="149">
        <f>SUM(G33:G36)</f>
        <v>3476736.2000000007</v>
      </c>
      <c r="H32" s="149">
        <f>SUM(H33:H36)</f>
        <v>3194888.8000000003</v>
      </c>
      <c r="I32" s="149">
        <f>SUM(I33:I36)</f>
        <v>281847.4</v>
      </c>
      <c r="J32" s="149">
        <f t="shared" si="14"/>
        <v>173695.75999999998</v>
      </c>
      <c r="K32" s="149">
        <f t="shared" si="14"/>
        <v>173695.75999999998</v>
      </c>
      <c r="L32" s="149">
        <f t="shared" si="14"/>
        <v>0</v>
      </c>
      <c r="M32" s="150">
        <f>SUM(J32/D32)*100</f>
        <v>2.9366755814332266</v>
      </c>
      <c r="N32" s="150">
        <f>SUM(K32/E32)*100</f>
        <v>3.018540498617645</v>
      </c>
      <c r="O32" s="173">
        <f>ROUND(L32/F32*100,1)</f>
        <v>0</v>
      </c>
      <c r="P32" s="152">
        <f>SUM(J32/G32)*100</f>
        <v>4.995943034159449</v>
      </c>
      <c r="Q32" s="150">
        <f>SUM(K32/H32)*100</f>
        <v>5.436676231110139</v>
      </c>
      <c r="R32" s="151">
        <f>SUM(L32/I32)*100</f>
        <v>0</v>
      </c>
    </row>
    <row r="33" spans="1:18" s="161" customFormat="1" ht="15">
      <c r="A33" s="162" t="s">
        <v>144</v>
      </c>
      <c r="B33" s="155" t="s">
        <v>143</v>
      </c>
      <c r="C33" s="156" t="s">
        <v>108</v>
      </c>
      <c r="D33" s="164">
        <v>2146003.37</v>
      </c>
      <c r="E33" s="157">
        <f>D33-F33</f>
        <v>1990550.37</v>
      </c>
      <c r="F33" s="164">
        <v>155453</v>
      </c>
      <c r="G33" s="164">
        <f>1697163.5-389309.7</f>
        <v>1307853.8</v>
      </c>
      <c r="H33" s="157">
        <f t="shared" si="3"/>
        <v>1079167</v>
      </c>
      <c r="I33" s="164">
        <f>234919.8-6233</f>
        <v>228686.8</v>
      </c>
      <c r="J33" s="157">
        <v>28655.8</v>
      </c>
      <c r="K33" s="157">
        <f t="shared" si="4"/>
        <v>28655.8</v>
      </c>
      <c r="L33" s="157"/>
      <c r="M33" s="158">
        <f>(J33/D33)*100</f>
        <v>1.335310111838268</v>
      </c>
      <c r="N33" s="158">
        <f aca="true" t="shared" si="15" ref="N33:O36">(K33/E33)*100</f>
        <v>1.4395918049539234</v>
      </c>
      <c r="O33" s="159">
        <f t="shared" si="15"/>
        <v>0</v>
      </c>
      <c r="P33" s="160">
        <f aca="true" t="shared" si="16" ref="P33:Q36">(J33/G33)*100</f>
        <v>2.1910552999119624</v>
      </c>
      <c r="Q33" s="158">
        <f t="shared" si="16"/>
        <v>2.6553628863743977</v>
      </c>
      <c r="R33" s="159">
        <f>ROUND(L33/I33*100,1)</f>
        <v>0</v>
      </c>
    </row>
    <row r="34" spans="1:18" s="161" customFormat="1" ht="15">
      <c r="A34" s="162" t="s">
        <v>145</v>
      </c>
      <c r="B34" s="155" t="s">
        <v>143</v>
      </c>
      <c r="C34" s="156" t="s">
        <v>111</v>
      </c>
      <c r="D34" s="164">
        <v>3622666.82</v>
      </c>
      <c r="E34" s="157">
        <f>D34-F34</f>
        <v>3617708.8499999996</v>
      </c>
      <c r="F34" s="164">
        <v>4957.97</v>
      </c>
      <c r="G34" s="164">
        <f>2792394.5-742107.9</f>
        <v>2050286.6</v>
      </c>
      <c r="H34" s="157">
        <f t="shared" si="3"/>
        <v>1997126</v>
      </c>
      <c r="I34" s="164">
        <f>69262.6-16102</f>
        <v>53160.600000000006</v>
      </c>
      <c r="J34" s="157">
        <v>137318.09</v>
      </c>
      <c r="K34" s="157">
        <f t="shared" si="4"/>
        <v>137318.09</v>
      </c>
      <c r="L34" s="157"/>
      <c r="M34" s="158">
        <f>(J34/D34)*100</f>
        <v>3.7905249591791055</v>
      </c>
      <c r="N34" s="158">
        <f t="shared" si="15"/>
        <v>3.7957197688807933</v>
      </c>
      <c r="O34" s="159">
        <f t="shared" si="15"/>
        <v>0</v>
      </c>
      <c r="P34" s="160">
        <f t="shared" si="16"/>
        <v>6.697507070474927</v>
      </c>
      <c r="Q34" s="158">
        <f t="shared" si="16"/>
        <v>6.875785003049381</v>
      </c>
      <c r="R34" s="159">
        <f>ROUND(L34/I34*100,1)</f>
        <v>0</v>
      </c>
    </row>
    <row r="35" spans="1:18" s="161" customFormat="1" ht="15">
      <c r="A35" s="162" t="s">
        <v>146</v>
      </c>
      <c r="B35" s="155" t="s">
        <v>143</v>
      </c>
      <c r="C35" s="156" t="s">
        <v>143</v>
      </c>
      <c r="D35" s="164">
        <v>97056.8</v>
      </c>
      <c r="E35" s="157">
        <f>D35-F35</f>
        <v>97056.8</v>
      </c>
      <c r="F35" s="164"/>
      <c r="G35" s="164">
        <f>75136.9-1221.3</f>
        <v>73915.59999999999</v>
      </c>
      <c r="H35" s="157">
        <f t="shared" si="3"/>
        <v>73915.59999999999</v>
      </c>
      <c r="I35" s="164"/>
      <c r="J35" s="157">
        <v>6333</v>
      </c>
      <c r="K35" s="157">
        <f t="shared" si="4"/>
        <v>6333</v>
      </c>
      <c r="L35" s="157"/>
      <c r="M35" s="158">
        <f>(J35/D35)*100</f>
        <v>6.5250451282135815</v>
      </c>
      <c r="N35" s="158">
        <f t="shared" si="15"/>
        <v>6.5250451282135815</v>
      </c>
      <c r="O35" s="159"/>
      <c r="P35" s="160">
        <f t="shared" si="16"/>
        <v>8.567880122734579</v>
      </c>
      <c r="Q35" s="158">
        <f t="shared" si="16"/>
        <v>8.567880122734579</v>
      </c>
      <c r="R35" s="159"/>
    </row>
    <row r="36" spans="1:18" s="153" customFormat="1" ht="15">
      <c r="A36" s="162" t="s">
        <v>147</v>
      </c>
      <c r="B36" s="155" t="s">
        <v>143</v>
      </c>
      <c r="C36" s="156" t="s">
        <v>126</v>
      </c>
      <c r="D36" s="164">
        <v>48980.14</v>
      </c>
      <c r="E36" s="157">
        <f>D36-F36</f>
        <v>48980.14</v>
      </c>
      <c r="F36" s="164"/>
      <c r="G36" s="164">
        <f>56534.5-11854.3</f>
        <v>44680.2</v>
      </c>
      <c r="H36" s="157">
        <f t="shared" si="3"/>
        <v>44680.2</v>
      </c>
      <c r="I36" s="164"/>
      <c r="J36" s="157">
        <v>1388.87</v>
      </c>
      <c r="K36" s="157">
        <f t="shared" si="4"/>
        <v>1388.87</v>
      </c>
      <c r="L36" s="157"/>
      <c r="M36" s="158">
        <f>(J36/D36)*100</f>
        <v>2.8355778484912455</v>
      </c>
      <c r="N36" s="158">
        <f t="shared" si="15"/>
        <v>2.8355778484912455</v>
      </c>
      <c r="O36" s="159"/>
      <c r="P36" s="160">
        <f t="shared" si="16"/>
        <v>3.108468628161915</v>
      </c>
      <c r="Q36" s="158">
        <f t="shared" si="16"/>
        <v>3.108468628161915</v>
      </c>
      <c r="R36" s="159"/>
    </row>
    <row r="37" spans="1:18" s="161" customFormat="1" ht="15">
      <c r="A37" s="147" t="s">
        <v>148</v>
      </c>
      <c r="B37" s="148" t="s">
        <v>131</v>
      </c>
      <c r="C37" s="148" t="s">
        <v>109</v>
      </c>
      <c r="D37" s="149">
        <f aca="true" t="shared" si="17" ref="D37:L37">SUM(D38:D39)</f>
        <v>322765.51999999996</v>
      </c>
      <c r="E37" s="149">
        <f t="shared" si="17"/>
        <v>322765.51999999996</v>
      </c>
      <c r="F37" s="149">
        <f t="shared" si="17"/>
        <v>0</v>
      </c>
      <c r="G37" s="149">
        <f t="shared" si="17"/>
        <v>189175.8</v>
      </c>
      <c r="H37" s="149">
        <f t="shared" si="17"/>
        <v>187934.8</v>
      </c>
      <c r="I37" s="149">
        <f t="shared" si="17"/>
        <v>1241</v>
      </c>
      <c r="J37" s="149">
        <f t="shared" si="17"/>
        <v>14320.91</v>
      </c>
      <c r="K37" s="149">
        <f t="shared" si="17"/>
        <v>14320.91</v>
      </c>
      <c r="L37" s="149">
        <f t="shared" si="17"/>
        <v>0</v>
      </c>
      <c r="M37" s="150">
        <f>SUM(J37/D37)*100</f>
        <v>4.4369392368800735</v>
      </c>
      <c r="N37" s="150">
        <f>SUM(K37/E37)*100</f>
        <v>4.4369392368800735</v>
      </c>
      <c r="O37" s="173"/>
      <c r="P37" s="152">
        <f>SUM(J37/G37)*100</f>
        <v>7.57015960815284</v>
      </c>
      <c r="Q37" s="150">
        <f>SUM(K37/H37)*100</f>
        <v>7.620148051345467</v>
      </c>
      <c r="R37" s="178">
        <v>0</v>
      </c>
    </row>
    <row r="38" spans="1:18" s="161" customFormat="1" ht="15">
      <c r="A38" s="162" t="s">
        <v>149</v>
      </c>
      <c r="B38" s="155" t="s">
        <v>131</v>
      </c>
      <c r="C38" s="156" t="s">
        <v>108</v>
      </c>
      <c r="D38" s="164">
        <v>319970.42</v>
      </c>
      <c r="E38" s="157">
        <f>D38-F38</f>
        <v>319970.42</v>
      </c>
      <c r="F38" s="164"/>
      <c r="G38" s="164">
        <f>255896.6-68646.8</f>
        <v>187249.8</v>
      </c>
      <c r="H38" s="157">
        <f t="shared" si="3"/>
        <v>186008.8</v>
      </c>
      <c r="I38" s="164">
        <f>7777-6536</f>
        <v>1241</v>
      </c>
      <c r="J38" s="157">
        <v>14063.91</v>
      </c>
      <c r="K38" s="157">
        <f t="shared" si="4"/>
        <v>14063.91</v>
      </c>
      <c r="L38" s="157"/>
      <c r="M38" s="158">
        <f>ROUND(J38/D38*100,1)</f>
        <v>4.4</v>
      </c>
      <c r="N38" s="158">
        <f>ROUND(K38/E38*100,1)</f>
        <v>4.4</v>
      </c>
      <c r="O38" s="159"/>
      <c r="P38" s="160">
        <f>(J38/G38)*100</f>
        <v>7.510774377329109</v>
      </c>
      <c r="Q38" s="158">
        <f>(K38/H38)*100</f>
        <v>7.5608842162306305</v>
      </c>
      <c r="R38" s="159">
        <f>ROUND(L38/I38*100,1)</f>
        <v>0</v>
      </c>
    </row>
    <row r="39" spans="1:18" s="161" customFormat="1" ht="15">
      <c r="A39" s="162" t="s">
        <v>150</v>
      </c>
      <c r="B39" s="155" t="s">
        <v>131</v>
      </c>
      <c r="C39" s="156" t="s">
        <v>113</v>
      </c>
      <c r="D39" s="164">
        <v>2795.1</v>
      </c>
      <c r="E39" s="157">
        <f>D39-F39</f>
        <v>2795.1</v>
      </c>
      <c r="F39" s="164"/>
      <c r="G39" s="164">
        <f>2074-148</f>
        <v>1926</v>
      </c>
      <c r="H39" s="157">
        <f t="shared" si="3"/>
        <v>1926</v>
      </c>
      <c r="I39" s="164"/>
      <c r="J39" s="157">
        <v>257</v>
      </c>
      <c r="K39" s="157">
        <f t="shared" si="4"/>
        <v>257</v>
      </c>
      <c r="L39" s="157"/>
      <c r="M39" s="158">
        <f>ROUND(J39/D39*100,1)</f>
        <v>9.2</v>
      </c>
      <c r="N39" s="158">
        <f>ROUND(K39/E39*100,1)</f>
        <v>9.2</v>
      </c>
      <c r="O39" s="159"/>
      <c r="P39" s="160">
        <f>(J39/G39)*100</f>
        <v>13.343717549325026</v>
      </c>
      <c r="Q39" s="158">
        <f>(K39/H39)*100</f>
        <v>13.343717549325026</v>
      </c>
      <c r="R39" s="159"/>
    </row>
    <row r="40" spans="1:18" s="175" customFormat="1" ht="15">
      <c r="A40" s="147" t="s">
        <v>151</v>
      </c>
      <c r="B40" s="148" t="s">
        <v>126</v>
      </c>
      <c r="C40" s="148" t="s">
        <v>109</v>
      </c>
      <c r="D40" s="149">
        <f aca="true" t="shared" si="18" ref="D40:L40">SUM(D41:D46)</f>
        <v>968474.6000000001</v>
      </c>
      <c r="E40" s="149">
        <f t="shared" si="18"/>
        <v>968474.6000000001</v>
      </c>
      <c r="F40" s="149">
        <f t="shared" si="18"/>
        <v>0</v>
      </c>
      <c r="G40" s="149">
        <f t="shared" si="18"/>
        <v>1406368.1</v>
      </c>
      <c r="H40" s="149">
        <f t="shared" si="18"/>
        <v>1402042.6</v>
      </c>
      <c r="I40" s="149">
        <f t="shared" si="18"/>
        <v>4325.5</v>
      </c>
      <c r="J40" s="149">
        <f t="shared" si="18"/>
        <v>45874.31</v>
      </c>
      <c r="K40" s="149">
        <f t="shared" si="18"/>
        <v>45874.31</v>
      </c>
      <c r="L40" s="149">
        <f t="shared" si="18"/>
        <v>0</v>
      </c>
      <c r="M40" s="150">
        <f>SUM(J40/D40)*100</f>
        <v>4.736759229410869</v>
      </c>
      <c r="N40" s="150">
        <f>SUM(K40/E40)*100</f>
        <v>4.736759229410869</v>
      </c>
      <c r="O40" s="150"/>
      <c r="P40" s="152">
        <f>SUM(J40/G40)*100</f>
        <v>3.261899214010898</v>
      </c>
      <c r="Q40" s="150">
        <f>SUM(K40/H40)*100</f>
        <v>3.2719626350868363</v>
      </c>
      <c r="R40" s="178">
        <f>ROUND(L40/I40*100,1)</f>
        <v>0</v>
      </c>
    </row>
    <row r="41" spans="1:18" s="175" customFormat="1" ht="15">
      <c r="A41" s="162" t="s">
        <v>152</v>
      </c>
      <c r="B41" s="155" t="s">
        <v>126</v>
      </c>
      <c r="C41" s="156" t="s">
        <v>108</v>
      </c>
      <c r="D41" s="164">
        <v>281209.6</v>
      </c>
      <c r="E41" s="157">
        <f aca="true" t="shared" si="19" ref="E41:E46">D41-F41</f>
        <v>281209.6</v>
      </c>
      <c r="F41" s="164"/>
      <c r="G41" s="164">
        <f>685272.4-173578.7</f>
        <v>511693.7</v>
      </c>
      <c r="H41" s="157">
        <f t="shared" si="3"/>
        <v>511693.7</v>
      </c>
      <c r="I41" s="164"/>
      <c r="J41" s="157">
        <v>26997.3</v>
      </c>
      <c r="K41" s="157">
        <f t="shared" si="4"/>
        <v>26997.3</v>
      </c>
      <c r="L41" s="157"/>
      <c r="M41" s="158">
        <f aca="true" t="shared" si="20" ref="M41:N46">(J41/D41)*100</f>
        <v>9.60041904686042</v>
      </c>
      <c r="N41" s="158">
        <f t="shared" si="20"/>
        <v>9.60041904686042</v>
      </c>
      <c r="O41" s="159"/>
      <c r="P41" s="160">
        <f aca="true" t="shared" si="21" ref="P41:Q46">(J41/G41)*100</f>
        <v>5.276066521827413</v>
      </c>
      <c r="Q41" s="158">
        <f t="shared" si="21"/>
        <v>5.276066521827413</v>
      </c>
      <c r="R41" s="159"/>
    </row>
    <row r="42" spans="1:18" s="175" customFormat="1" ht="15">
      <c r="A42" s="162" t="s">
        <v>153</v>
      </c>
      <c r="B42" s="155" t="s">
        <v>126</v>
      </c>
      <c r="C42" s="156" t="s">
        <v>111</v>
      </c>
      <c r="D42" s="164">
        <v>330256.7</v>
      </c>
      <c r="E42" s="157">
        <f t="shared" si="19"/>
        <v>330256.7</v>
      </c>
      <c r="F42" s="164"/>
      <c r="G42" s="164">
        <f>982690.8-247510.4</f>
        <v>735180.4</v>
      </c>
      <c r="H42" s="157">
        <f t="shared" si="3"/>
        <v>735180.4</v>
      </c>
      <c r="I42" s="164"/>
      <c r="J42" s="157">
        <v>11978.2</v>
      </c>
      <c r="K42" s="157">
        <f t="shared" si="4"/>
        <v>11978.2</v>
      </c>
      <c r="L42" s="157"/>
      <c r="M42" s="158">
        <f t="shared" si="20"/>
        <v>3.6269362589767296</v>
      </c>
      <c r="N42" s="158">
        <f t="shared" si="20"/>
        <v>3.6269362589767296</v>
      </c>
      <c r="O42" s="159"/>
      <c r="P42" s="160">
        <f t="shared" si="21"/>
        <v>1.6292871790379613</v>
      </c>
      <c r="Q42" s="158">
        <f t="shared" si="21"/>
        <v>1.6292871790379613</v>
      </c>
      <c r="R42" s="159"/>
    </row>
    <row r="43" spans="1:18" s="175" customFormat="1" ht="15">
      <c r="A43" s="162" t="s">
        <v>154</v>
      </c>
      <c r="B43" s="155" t="s">
        <v>126</v>
      </c>
      <c r="C43" s="156" t="s">
        <v>123</v>
      </c>
      <c r="D43" s="164">
        <v>11020.8</v>
      </c>
      <c r="E43" s="157">
        <f t="shared" si="19"/>
        <v>11020.8</v>
      </c>
      <c r="F43" s="164"/>
      <c r="G43" s="164">
        <f>6462-1509</f>
        <v>4953</v>
      </c>
      <c r="H43" s="157">
        <f t="shared" si="3"/>
        <v>4953</v>
      </c>
      <c r="I43" s="164"/>
      <c r="J43" s="157">
        <v>97.5</v>
      </c>
      <c r="K43" s="157">
        <f t="shared" si="4"/>
        <v>97.5</v>
      </c>
      <c r="L43" s="157"/>
      <c r="M43" s="158">
        <f t="shared" si="20"/>
        <v>0.8846907665505227</v>
      </c>
      <c r="N43" s="158">
        <f t="shared" si="20"/>
        <v>0.8846907665505227</v>
      </c>
      <c r="O43" s="159"/>
      <c r="P43" s="160">
        <f t="shared" si="21"/>
        <v>1.968503937007874</v>
      </c>
      <c r="Q43" s="158">
        <f t="shared" si="21"/>
        <v>1.968503937007874</v>
      </c>
      <c r="R43" s="159"/>
    </row>
    <row r="44" spans="1:18" s="175" customFormat="1" ht="15">
      <c r="A44" s="162" t="s">
        <v>155</v>
      </c>
      <c r="B44" s="155" t="s">
        <v>126</v>
      </c>
      <c r="C44" s="156" t="s">
        <v>113</v>
      </c>
      <c r="D44" s="164">
        <v>300958.3</v>
      </c>
      <c r="E44" s="157">
        <f t="shared" si="19"/>
        <v>300958.3</v>
      </c>
      <c r="F44" s="164"/>
      <c r="G44" s="164">
        <f>173549-41241</f>
        <v>132308</v>
      </c>
      <c r="H44" s="157">
        <f t="shared" si="3"/>
        <v>132308</v>
      </c>
      <c r="I44" s="164"/>
      <c r="J44" s="157">
        <v>6032</v>
      </c>
      <c r="K44" s="157">
        <f t="shared" si="4"/>
        <v>6032</v>
      </c>
      <c r="L44" s="157"/>
      <c r="M44" s="158">
        <f t="shared" si="20"/>
        <v>2.0042643781547147</v>
      </c>
      <c r="N44" s="158">
        <f t="shared" si="20"/>
        <v>2.0042643781547147</v>
      </c>
      <c r="O44" s="159"/>
      <c r="P44" s="160">
        <f t="shared" si="21"/>
        <v>4.559059164978686</v>
      </c>
      <c r="Q44" s="158">
        <f t="shared" si="21"/>
        <v>4.559059164978686</v>
      </c>
      <c r="R44" s="159"/>
    </row>
    <row r="45" spans="1:18" s="175" customFormat="1" ht="15">
      <c r="A45" s="162" t="s">
        <v>156</v>
      </c>
      <c r="B45" s="155" t="s">
        <v>126</v>
      </c>
      <c r="C45" s="156" t="s">
        <v>143</v>
      </c>
      <c r="D45" s="164">
        <v>7129</v>
      </c>
      <c r="E45" s="157">
        <f t="shared" si="19"/>
        <v>7129</v>
      </c>
      <c r="F45" s="164"/>
      <c r="G45" s="164">
        <f>7624-2375</f>
        <v>5249</v>
      </c>
      <c r="H45" s="157">
        <f t="shared" si="3"/>
        <v>5249</v>
      </c>
      <c r="I45" s="164"/>
      <c r="J45" s="157">
        <v>0</v>
      </c>
      <c r="K45" s="157">
        <f t="shared" si="4"/>
        <v>0</v>
      </c>
      <c r="L45" s="157"/>
      <c r="M45" s="158">
        <f t="shared" si="20"/>
        <v>0</v>
      </c>
      <c r="N45" s="158">
        <f t="shared" si="20"/>
        <v>0</v>
      </c>
      <c r="O45" s="159"/>
      <c r="P45" s="160">
        <f t="shared" si="21"/>
        <v>0</v>
      </c>
      <c r="Q45" s="158">
        <f t="shared" si="21"/>
        <v>0</v>
      </c>
      <c r="R45" s="159"/>
    </row>
    <row r="46" spans="1:18" s="161" customFormat="1" ht="15">
      <c r="A46" s="162" t="s">
        <v>157</v>
      </c>
      <c r="B46" s="155" t="s">
        <v>126</v>
      </c>
      <c r="C46" s="156" t="s">
        <v>126</v>
      </c>
      <c r="D46" s="164">
        <v>37900.2</v>
      </c>
      <c r="E46" s="157">
        <f t="shared" si="19"/>
        <v>37900.2</v>
      </c>
      <c r="F46" s="164"/>
      <c r="G46" s="164">
        <f>27111.1-10127.1</f>
        <v>16984</v>
      </c>
      <c r="H46" s="157">
        <f t="shared" si="3"/>
        <v>12658.5</v>
      </c>
      <c r="I46" s="164">
        <f>4325.5</f>
        <v>4325.5</v>
      </c>
      <c r="J46" s="157">
        <v>769.31</v>
      </c>
      <c r="K46" s="157">
        <f t="shared" si="4"/>
        <v>769.31</v>
      </c>
      <c r="L46" s="157"/>
      <c r="M46" s="158">
        <f t="shared" si="20"/>
        <v>2.0298309771452394</v>
      </c>
      <c r="N46" s="158">
        <f t="shared" si="20"/>
        <v>2.0298309771452394</v>
      </c>
      <c r="O46" s="159"/>
      <c r="P46" s="160">
        <f t="shared" si="21"/>
        <v>4.5296161092793215</v>
      </c>
      <c r="Q46" s="158">
        <f t="shared" si="21"/>
        <v>6.0774183355057865</v>
      </c>
      <c r="R46" s="159">
        <f>ROUND(L46/I46*100,1)</f>
        <v>0</v>
      </c>
    </row>
    <row r="47" spans="1:18" s="161" customFormat="1" ht="15">
      <c r="A47" s="147" t="s">
        <v>158</v>
      </c>
      <c r="B47" s="179">
        <v>10</v>
      </c>
      <c r="C47" s="148" t="s">
        <v>109</v>
      </c>
      <c r="D47" s="149">
        <f aca="true" t="shared" si="22" ref="D47:L47">SUM(D48:D51)</f>
        <v>706426.2999999999</v>
      </c>
      <c r="E47" s="149">
        <f t="shared" si="22"/>
        <v>706426.2999999999</v>
      </c>
      <c r="F47" s="149">
        <f>SUM(F48:F51)</f>
        <v>0</v>
      </c>
      <c r="G47" s="149">
        <f>SUM(G48:G51)</f>
        <v>585312.5</v>
      </c>
      <c r="H47" s="149">
        <f>SUM(H48:H51)</f>
        <v>585312.5</v>
      </c>
      <c r="I47" s="149">
        <f>SUM(I48:I51)</f>
        <v>0</v>
      </c>
      <c r="J47" s="149">
        <f t="shared" si="22"/>
        <v>11571.21</v>
      </c>
      <c r="K47" s="149">
        <f t="shared" si="22"/>
        <v>11571.21</v>
      </c>
      <c r="L47" s="149">
        <f t="shared" si="22"/>
        <v>0</v>
      </c>
      <c r="M47" s="150">
        <f>SUM(J47/D47)*100</f>
        <v>1.6379925266089328</v>
      </c>
      <c r="N47" s="150">
        <f>SUM(K47/E47)*100</f>
        <v>1.6379925266089328</v>
      </c>
      <c r="O47" s="180"/>
      <c r="P47" s="152">
        <f>SUM(J47/G47)*100</f>
        <v>1.9769285638013878</v>
      </c>
      <c r="Q47" s="150">
        <f>SUM(K47/H47)*100</f>
        <v>1.9769285638013878</v>
      </c>
      <c r="R47" s="151">
        <v>0</v>
      </c>
    </row>
    <row r="48" spans="1:18" s="161" customFormat="1" ht="15">
      <c r="A48" s="181" t="s">
        <v>159</v>
      </c>
      <c r="B48" s="182">
        <v>10</v>
      </c>
      <c r="C48" s="183" t="s">
        <v>108</v>
      </c>
      <c r="D48" s="164">
        <v>8828.2</v>
      </c>
      <c r="E48" s="157">
        <f>D48-F48</f>
        <v>8828.2</v>
      </c>
      <c r="F48" s="157"/>
      <c r="G48" s="164">
        <f>3968.4-968.4</f>
        <v>3000</v>
      </c>
      <c r="H48" s="157">
        <f t="shared" si="3"/>
        <v>3000</v>
      </c>
      <c r="I48" s="157"/>
      <c r="J48" s="157">
        <v>819.95</v>
      </c>
      <c r="K48" s="157">
        <f t="shared" si="4"/>
        <v>819.95</v>
      </c>
      <c r="L48" s="157"/>
      <c r="M48" s="158">
        <f aca="true" t="shared" si="23" ref="M48:N56">(J48/D48)*100</f>
        <v>9.287850297908973</v>
      </c>
      <c r="N48" s="158">
        <f t="shared" si="23"/>
        <v>9.287850297908973</v>
      </c>
      <c r="O48" s="159"/>
      <c r="P48" s="160">
        <f aca="true" t="shared" si="24" ref="P48:Q51">(J48/G48)*100</f>
        <v>27.33166666666667</v>
      </c>
      <c r="Q48" s="158">
        <f t="shared" si="24"/>
        <v>27.33166666666667</v>
      </c>
      <c r="R48" s="159"/>
    </row>
    <row r="49" spans="1:18" s="161" customFormat="1" ht="15">
      <c r="A49" s="184" t="s">
        <v>160</v>
      </c>
      <c r="B49" s="185">
        <v>10</v>
      </c>
      <c r="C49" s="155" t="s">
        <v>123</v>
      </c>
      <c r="D49" s="164">
        <v>145165.4</v>
      </c>
      <c r="E49" s="157">
        <f>D49-F49</f>
        <v>145165.4</v>
      </c>
      <c r="F49" s="186"/>
      <c r="G49" s="164">
        <f>213109.7</f>
        <v>213109.7</v>
      </c>
      <c r="H49" s="157">
        <f t="shared" si="3"/>
        <v>213109.7</v>
      </c>
      <c r="I49" s="186"/>
      <c r="J49" s="157">
        <v>0</v>
      </c>
      <c r="K49" s="157">
        <f t="shared" si="4"/>
        <v>0</v>
      </c>
      <c r="L49" s="187"/>
      <c r="M49" s="158">
        <f t="shared" si="23"/>
        <v>0</v>
      </c>
      <c r="N49" s="158">
        <f t="shared" si="23"/>
        <v>0</v>
      </c>
      <c r="O49" s="159"/>
      <c r="P49" s="160">
        <f t="shared" si="24"/>
        <v>0</v>
      </c>
      <c r="Q49" s="158">
        <f t="shared" si="24"/>
        <v>0</v>
      </c>
      <c r="R49" s="159"/>
    </row>
    <row r="50" spans="1:18" s="161" customFormat="1" ht="15">
      <c r="A50" s="162" t="s">
        <v>161</v>
      </c>
      <c r="B50" s="188">
        <v>10</v>
      </c>
      <c r="C50" s="156" t="s">
        <v>113</v>
      </c>
      <c r="D50" s="164">
        <v>460490.5</v>
      </c>
      <c r="E50" s="157">
        <f>D50-F50</f>
        <v>460490.5</v>
      </c>
      <c r="F50" s="164"/>
      <c r="G50" s="164">
        <f>321588.7-76204.7</f>
        <v>245384</v>
      </c>
      <c r="H50" s="157">
        <f t="shared" si="3"/>
        <v>245384</v>
      </c>
      <c r="I50" s="164"/>
      <c r="J50" s="157">
        <v>4846.79</v>
      </c>
      <c r="K50" s="157">
        <f t="shared" si="4"/>
        <v>4846.79</v>
      </c>
      <c r="L50" s="157"/>
      <c r="M50" s="158">
        <f t="shared" si="23"/>
        <v>1.052527685153114</v>
      </c>
      <c r="N50" s="158">
        <f t="shared" si="23"/>
        <v>1.052527685153114</v>
      </c>
      <c r="O50" s="159"/>
      <c r="P50" s="160">
        <f t="shared" si="24"/>
        <v>1.9751858311870374</v>
      </c>
      <c r="Q50" s="158">
        <f t="shared" si="24"/>
        <v>1.9751858311870374</v>
      </c>
      <c r="R50" s="159"/>
    </row>
    <row r="51" spans="1:18" s="161" customFormat="1" ht="15">
      <c r="A51" s="189" t="s">
        <v>162</v>
      </c>
      <c r="B51" s="190">
        <v>10</v>
      </c>
      <c r="C51" s="191" t="s">
        <v>117</v>
      </c>
      <c r="D51" s="192">
        <v>91942.2</v>
      </c>
      <c r="E51" s="193">
        <f>D51-F51</f>
        <v>91942.2</v>
      </c>
      <c r="F51" s="192"/>
      <c r="G51" s="192">
        <f>140248.3-16429.5</f>
        <v>123818.79999999999</v>
      </c>
      <c r="H51" s="193">
        <f t="shared" si="3"/>
        <v>123818.79999999999</v>
      </c>
      <c r="I51" s="192"/>
      <c r="J51" s="193">
        <v>5904.47</v>
      </c>
      <c r="K51" s="193">
        <f t="shared" si="4"/>
        <v>5904.47</v>
      </c>
      <c r="L51" s="193"/>
      <c r="M51" s="194">
        <f t="shared" si="23"/>
        <v>6.421936825527343</v>
      </c>
      <c r="N51" s="194">
        <f t="shared" si="23"/>
        <v>6.421936825527343</v>
      </c>
      <c r="O51" s="195"/>
      <c r="P51" s="160">
        <f t="shared" si="24"/>
        <v>4.768637718989362</v>
      </c>
      <c r="Q51" s="158">
        <f t="shared" si="24"/>
        <v>4.768637718989362</v>
      </c>
      <c r="R51" s="195"/>
    </row>
    <row r="52" spans="1:18" s="161" customFormat="1" ht="15">
      <c r="A52" s="196" t="s">
        <v>163</v>
      </c>
      <c r="B52" s="179">
        <v>11</v>
      </c>
      <c r="C52" s="148" t="s">
        <v>109</v>
      </c>
      <c r="D52" s="197">
        <f>D53+D54</f>
        <v>119893.19</v>
      </c>
      <c r="E52" s="197">
        <f aca="true" t="shared" si="25" ref="E52:L52">E53+E54</f>
        <v>51685.6</v>
      </c>
      <c r="F52" s="197">
        <f t="shared" si="25"/>
        <v>68207.59</v>
      </c>
      <c r="G52" s="197">
        <f t="shared" si="25"/>
        <v>0</v>
      </c>
      <c r="H52" s="197">
        <f t="shared" si="25"/>
        <v>0</v>
      </c>
      <c r="I52" s="197">
        <f t="shared" si="25"/>
        <v>0</v>
      </c>
      <c r="J52" s="197">
        <f t="shared" si="25"/>
        <v>2986.74</v>
      </c>
      <c r="K52" s="197">
        <f t="shared" si="25"/>
        <v>2986.74</v>
      </c>
      <c r="L52" s="197">
        <f t="shared" si="25"/>
        <v>0</v>
      </c>
      <c r="M52" s="198">
        <f t="shared" si="23"/>
        <v>2.491167346535695</v>
      </c>
      <c r="N52" s="198">
        <f t="shared" si="23"/>
        <v>5.7786694940176755</v>
      </c>
      <c r="O52" s="173">
        <f>ROUND(L52/F52*100,1)</f>
        <v>0</v>
      </c>
      <c r="P52" s="199"/>
      <c r="Q52" s="200"/>
      <c r="R52" s="201"/>
    </row>
    <row r="53" spans="1:18" s="161" customFormat="1" ht="15">
      <c r="A53" s="202" t="s">
        <v>164</v>
      </c>
      <c r="B53" s="203">
        <v>11</v>
      </c>
      <c r="C53" s="166" t="s">
        <v>108</v>
      </c>
      <c r="D53" s="164">
        <v>40355.6</v>
      </c>
      <c r="E53" s="193">
        <f>D53-F53</f>
        <v>40355.6</v>
      </c>
      <c r="F53" s="164"/>
      <c r="G53" s="164"/>
      <c r="H53" s="157"/>
      <c r="I53" s="164"/>
      <c r="J53" s="157">
        <v>1665</v>
      </c>
      <c r="K53" s="193">
        <f t="shared" si="4"/>
        <v>1665</v>
      </c>
      <c r="L53" s="157"/>
      <c r="M53" s="204">
        <f t="shared" si="23"/>
        <v>4.125821447333208</v>
      </c>
      <c r="N53" s="204">
        <f t="shared" si="23"/>
        <v>4.125821447333208</v>
      </c>
      <c r="O53" s="168"/>
      <c r="P53" s="199"/>
      <c r="Q53" s="200"/>
      <c r="R53" s="201"/>
    </row>
    <row r="54" spans="1:18" s="161" customFormat="1" ht="15">
      <c r="A54" s="202" t="s">
        <v>165</v>
      </c>
      <c r="B54" s="203">
        <v>11</v>
      </c>
      <c r="C54" s="166" t="s">
        <v>111</v>
      </c>
      <c r="D54" s="164">
        <v>79537.59</v>
      </c>
      <c r="E54" s="193">
        <f>D54-F54</f>
        <v>11330</v>
      </c>
      <c r="F54" s="164">
        <v>68207.59</v>
      </c>
      <c r="G54" s="164"/>
      <c r="H54" s="157"/>
      <c r="I54" s="164"/>
      <c r="J54" s="157">
        <v>1321.74</v>
      </c>
      <c r="K54" s="193">
        <f t="shared" si="4"/>
        <v>1321.74</v>
      </c>
      <c r="L54" s="157"/>
      <c r="M54" s="204">
        <f t="shared" si="23"/>
        <v>1.6617802978440759</v>
      </c>
      <c r="N54" s="204">
        <f t="shared" si="23"/>
        <v>11.665842894969108</v>
      </c>
      <c r="O54" s="168">
        <f>ROUND(L54/F54*100,1)</f>
        <v>0</v>
      </c>
      <c r="P54" s="199"/>
      <c r="Q54" s="200"/>
      <c r="R54" s="201"/>
    </row>
    <row r="55" spans="1:18" s="161" customFormat="1" ht="15">
      <c r="A55" s="196" t="s">
        <v>166</v>
      </c>
      <c r="B55" s="179">
        <v>12</v>
      </c>
      <c r="C55" s="148" t="s">
        <v>109</v>
      </c>
      <c r="D55" s="197">
        <f aca="true" t="shared" si="26" ref="D55:L55">D56</f>
        <v>4428.76</v>
      </c>
      <c r="E55" s="197">
        <f t="shared" si="26"/>
        <v>4428.76</v>
      </c>
      <c r="F55" s="197">
        <f t="shared" si="26"/>
        <v>0</v>
      </c>
      <c r="G55" s="197">
        <f t="shared" si="26"/>
        <v>0</v>
      </c>
      <c r="H55" s="197">
        <f t="shared" si="26"/>
        <v>0</v>
      </c>
      <c r="I55" s="197">
        <f t="shared" si="26"/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8">
        <f t="shared" si="23"/>
        <v>0</v>
      </c>
      <c r="N55" s="198">
        <f t="shared" si="23"/>
        <v>0</v>
      </c>
      <c r="O55" s="173"/>
      <c r="P55" s="199"/>
      <c r="Q55" s="200"/>
      <c r="R55" s="201"/>
    </row>
    <row r="56" spans="1:18" s="161" customFormat="1" ht="15.75" thickBot="1">
      <c r="A56" s="162" t="s">
        <v>167</v>
      </c>
      <c r="B56" s="188">
        <v>12</v>
      </c>
      <c r="C56" s="156" t="s">
        <v>111</v>
      </c>
      <c r="D56" s="164">
        <v>4428.76</v>
      </c>
      <c r="E56" s="193">
        <f>D56-F56</f>
        <v>4428.76</v>
      </c>
      <c r="F56" s="164"/>
      <c r="G56" s="164"/>
      <c r="H56" s="157"/>
      <c r="I56" s="164"/>
      <c r="J56" s="157">
        <v>0</v>
      </c>
      <c r="K56" s="193">
        <f t="shared" si="4"/>
        <v>0</v>
      </c>
      <c r="L56" s="157"/>
      <c r="M56" s="194">
        <f t="shared" si="23"/>
        <v>0</v>
      </c>
      <c r="N56" s="194">
        <f t="shared" si="23"/>
        <v>0</v>
      </c>
      <c r="O56" s="159"/>
      <c r="P56" s="199"/>
      <c r="Q56" s="200"/>
      <c r="R56" s="201"/>
    </row>
    <row r="57" spans="1:18" s="161" customFormat="1" ht="15.75" thickBot="1">
      <c r="A57" s="205" t="s">
        <v>168</v>
      </c>
      <c r="B57" s="206"/>
      <c r="C57" s="206"/>
      <c r="D57" s="207">
        <f>D47+D40+D37+D32+D25+D19+D16+D9+D30+D52+D55</f>
        <v>11757973.889999999</v>
      </c>
      <c r="E57" s="207">
        <f aca="true" t="shared" si="27" ref="E57:L57">E47+E40+E37+E32+E25+E19+E16+E9+E30+E52+E55</f>
        <v>10974874.109999998</v>
      </c>
      <c r="F57" s="207">
        <f t="shared" si="27"/>
        <v>783099.78</v>
      </c>
      <c r="G57" s="207">
        <f t="shared" si="27"/>
        <v>8506061.100000001</v>
      </c>
      <c r="H57" s="207">
        <f t="shared" si="27"/>
        <v>7697703</v>
      </c>
      <c r="I57" s="207">
        <f t="shared" si="27"/>
        <v>808358.1000000001</v>
      </c>
      <c r="J57" s="207">
        <f t="shared" si="27"/>
        <v>494245.67999999993</v>
      </c>
      <c r="K57" s="207">
        <f t="shared" si="27"/>
        <v>494245.67999999993</v>
      </c>
      <c r="L57" s="207">
        <f t="shared" si="27"/>
        <v>0</v>
      </c>
      <c r="M57" s="208">
        <f>SUM(J57/D57)*100</f>
        <v>4.203493600375736</v>
      </c>
      <c r="N57" s="208">
        <f>SUM(K57/E57)*100</f>
        <v>4.503429151407369</v>
      </c>
      <c r="O57" s="209">
        <f>SUM(L57/F57)*100</f>
        <v>0</v>
      </c>
      <c r="P57" s="210">
        <f>SUM(J57/G57)*100</f>
        <v>5.810511753789305</v>
      </c>
      <c r="Q57" s="208">
        <f>SUM(K57/H57)*100</f>
        <v>6.420690431937942</v>
      </c>
      <c r="R57" s="209">
        <f>SUM(L57/I57)*100</f>
        <v>0</v>
      </c>
    </row>
    <row r="58" spans="1:18" s="176" customFormat="1" ht="15">
      <c r="A58" s="119"/>
      <c r="B58" s="119"/>
      <c r="C58" s="211"/>
      <c r="D58" s="211"/>
      <c r="E58" s="212"/>
      <c r="F58" s="211"/>
      <c r="G58" s="211"/>
      <c r="H58" s="211"/>
      <c r="I58" s="211"/>
      <c r="J58" s="211"/>
      <c r="K58" s="211"/>
      <c r="L58" s="211"/>
      <c r="M58" s="213"/>
      <c r="N58" s="213"/>
      <c r="O58" s="213"/>
      <c r="P58" s="213"/>
      <c r="Q58" s="213"/>
      <c r="R58" s="213"/>
    </row>
    <row r="59" spans="4:17" ht="15">
      <c r="D59" s="215"/>
      <c r="F59" s="216"/>
      <c r="G59" s="216"/>
      <c r="H59" s="216"/>
      <c r="I59" s="216"/>
      <c r="J59" s="217"/>
      <c r="K59" s="216"/>
      <c r="L59" s="216"/>
      <c r="M59" s="216"/>
      <c r="N59" s="216"/>
      <c r="P59" s="216"/>
      <c r="Q59" s="216"/>
    </row>
    <row r="63" spans="6:11" ht="15">
      <c r="F63" s="218"/>
      <c r="G63" s="218"/>
      <c r="H63" s="218"/>
      <c r="I63" s="218"/>
      <c r="J63" s="218"/>
      <c r="K63" s="218"/>
    </row>
  </sheetData>
  <sheetProtection/>
  <mergeCells count="21">
    <mergeCell ref="Q6:R6"/>
    <mergeCell ref="P5:R5"/>
    <mergeCell ref="D6:D7"/>
    <mergeCell ref="E6:F6"/>
    <mergeCell ref="G6:G7"/>
    <mergeCell ref="H6:I6"/>
    <mergeCell ref="J6:J7"/>
    <mergeCell ref="K6:L6"/>
    <mergeCell ref="M6:M7"/>
    <mergeCell ref="N6:O6"/>
    <mergeCell ref="P6:P7"/>
    <mergeCell ref="A1:O1"/>
    <mergeCell ref="A2:O2"/>
    <mergeCell ref="A3:O3"/>
    <mergeCell ref="A5:A7"/>
    <mergeCell ref="B5:B7"/>
    <mergeCell ref="C5:C7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по финансам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Куклина Светланан Николаевна</cp:lastModifiedBy>
  <cp:lastPrinted>2012-02-16T06:53:36Z</cp:lastPrinted>
  <dcterms:created xsi:type="dcterms:W3CDTF">2007-07-04T09:57:04Z</dcterms:created>
  <dcterms:modified xsi:type="dcterms:W3CDTF">2015-02-25T04:58:33Z</dcterms:modified>
  <cp:category/>
  <cp:version/>
  <cp:contentType/>
  <cp:contentStatus/>
</cp:coreProperties>
</file>