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по поддержке предпринимательства\Муниципальная программа\Фин. поддержка\2024 год\4.выплата по лимитам 25.11\Приказ\"/>
    </mc:Choice>
  </mc:AlternateContent>
  <bookViews>
    <workbookView xWindow="0" yWindow="0" windowWidth="28800" windowHeight="11400" firstSheet="1" activeTab="1"/>
  </bookViews>
  <sheets>
    <sheet name="ОПП" sheetId="21" state="hidden" r:id="rId1"/>
    <sheet name="Приложение 1" sheetId="26" r:id="rId2"/>
    <sheet name="Список 1 потока" sheetId="27" state="hidden" r:id="rId3"/>
    <sheet name="ФП АК_1 пот_03.04-02.05" sheetId="25" state="hidden" r:id="rId4"/>
  </sheets>
  <definedNames>
    <definedName name="_xlnm.Print_Area" localSheetId="0">ОПП!$A$1:$H$34</definedName>
    <definedName name="_xlnm.Print_Area" localSheetId="1">'Приложение 1'!$A$1:$D$41</definedName>
    <definedName name="_xlnm.Print_Area" localSheetId="2">'Список 1 потока'!$A$1:$K$69</definedName>
    <definedName name="_xlnm.Print_Area" localSheetId="3">'ФП АК_1 пот_03.04-02.05'!$A$1:$K$94</definedName>
  </definedNames>
  <calcPr calcId="162913"/>
</workbook>
</file>

<file path=xl/calcChain.xml><?xml version="1.0" encoding="utf-8"?>
<calcChain xmlns="http://schemas.openxmlformats.org/spreadsheetml/2006/main">
  <c r="D7" i="26" l="1"/>
  <c r="K41" i="27" l="1"/>
  <c r="E41" i="27"/>
  <c r="E2" i="27" s="1"/>
  <c r="I2" i="27" s="1"/>
  <c r="K68" i="27"/>
  <c r="K10" i="27" l="1"/>
  <c r="K5" i="27"/>
  <c r="K4" i="27"/>
  <c r="K3" i="27"/>
  <c r="K2" i="27"/>
  <c r="K6" i="27" l="1"/>
  <c r="G82" i="25"/>
  <c r="H82" i="25"/>
  <c r="F82" i="25"/>
  <c r="F3" i="25" s="1"/>
  <c r="G64" i="25"/>
  <c r="H64" i="25"/>
  <c r="F64" i="25"/>
  <c r="G6" i="25"/>
  <c r="H6" i="25"/>
  <c r="F6" i="25"/>
  <c r="J93" i="25"/>
  <c r="J63" i="25"/>
  <c r="E69" i="27" l="1"/>
  <c r="E68" i="27"/>
  <c r="E67" i="27"/>
  <c r="E66" i="27"/>
  <c r="E65" i="27"/>
  <c r="E64" i="27"/>
  <c r="E63" i="27"/>
  <c r="E62" i="27"/>
  <c r="E61" i="27"/>
  <c r="E60" i="27"/>
  <c r="E59" i="27"/>
  <c r="E58" i="27"/>
  <c r="E57" i="27"/>
  <c r="E56" i="27"/>
  <c r="E55" i="27"/>
  <c r="E54" i="27"/>
  <c r="E53" i="27"/>
  <c r="E52" i="27"/>
  <c r="G51" i="27"/>
  <c r="F51" i="27"/>
  <c r="E51" i="27"/>
  <c r="E50" i="27"/>
  <c r="E49" i="27"/>
  <c r="E48" i="27"/>
  <c r="E47" i="27"/>
  <c r="E46" i="27"/>
  <c r="E45" i="27"/>
  <c r="E44" i="27"/>
  <c r="E43" i="27"/>
  <c r="E42" i="27"/>
  <c r="E40" i="27"/>
  <c r="E39" i="27"/>
  <c r="E38" i="27"/>
  <c r="E37" i="27"/>
  <c r="E36" i="27"/>
  <c r="E35" i="27"/>
  <c r="E34" i="27"/>
  <c r="G33" i="27"/>
  <c r="F33" i="27"/>
  <c r="E33" i="27" s="1"/>
  <c r="E32" i="27"/>
  <c r="E31" i="27"/>
  <c r="E30" i="27"/>
  <c r="E29" i="27"/>
  <c r="E28" i="27"/>
  <c r="E27" i="27"/>
  <c r="G26" i="27"/>
  <c r="E26" i="27" s="1"/>
  <c r="F26" i="27"/>
  <c r="E25" i="27"/>
  <c r="G24" i="27"/>
  <c r="F24" i="27"/>
  <c r="E24" i="27"/>
  <c r="G23" i="27"/>
  <c r="F23" i="27"/>
  <c r="E23" i="27"/>
  <c r="E22" i="27"/>
  <c r="E21" i="27"/>
  <c r="G20" i="27"/>
  <c r="F20" i="27"/>
  <c r="E20" i="27"/>
  <c r="G19" i="27"/>
  <c r="F19" i="27"/>
  <c r="E19" i="27"/>
  <c r="E18" i="27"/>
  <c r="G17" i="27"/>
  <c r="F17" i="27"/>
  <c r="E17" i="27"/>
  <c r="E16" i="27"/>
  <c r="E15" i="27"/>
  <c r="G14" i="27"/>
  <c r="F14" i="27"/>
  <c r="E14" i="27"/>
  <c r="G13" i="27"/>
  <c r="F13" i="27"/>
  <c r="E13" i="27"/>
  <c r="E12" i="27"/>
  <c r="E11" i="27"/>
  <c r="E10" i="27"/>
  <c r="E9" i="27"/>
  <c r="G8" i="27"/>
  <c r="E8" i="27" s="1"/>
  <c r="F8" i="27"/>
  <c r="E7" i="27"/>
  <c r="E6" i="27"/>
  <c r="E5" i="27"/>
  <c r="G4" i="27"/>
  <c r="F4" i="27"/>
  <c r="E4" i="27"/>
  <c r="E3" i="27"/>
  <c r="H2" i="27"/>
  <c r="F2" i="27"/>
  <c r="G2" i="27" l="1"/>
  <c r="G62" i="25" l="1"/>
  <c r="F62" i="25"/>
  <c r="G61" i="25"/>
  <c r="F61" i="25"/>
  <c r="G60" i="25"/>
  <c r="F60" i="25"/>
  <c r="I92" i="25"/>
  <c r="H92" i="25"/>
  <c r="I60" i="25" l="1"/>
  <c r="I61" i="25"/>
  <c r="G79" i="25" l="1"/>
  <c r="F79" i="25"/>
  <c r="G78" i="25"/>
  <c r="F78" i="25"/>
  <c r="G77" i="25"/>
  <c r="F77" i="25"/>
  <c r="G76" i="25"/>
  <c r="F76" i="25"/>
  <c r="G75" i="25"/>
  <c r="F75" i="25"/>
  <c r="G74" i="25"/>
  <c r="F74" i="25"/>
  <c r="G73" i="25"/>
  <c r="F73" i="25"/>
  <c r="G72" i="25"/>
  <c r="F72" i="25"/>
  <c r="G71" i="25"/>
  <c r="F71" i="25"/>
  <c r="G70" i="25"/>
  <c r="F70" i="25"/>
  <c r="G69" i="25"/>
  <c r="F69" i="25"/>
  <c r="G68" i="25"/>
  <c r="F68" i="25"/>
  <c r="G67" i="25"/>
  <c r="F67" i="25"/>
  <c r="G66" i="25"/>
  <c r="F66" i="25"/>
  <c r="G65" i="25"/>
  <c r="F65" i="25"/>
  <c r="F16" i="25"/>
  <c r="G59" i="25"/>
  <c r="F59" i="25"/>
  <c r="G58" i="25"/>
  <c r="F58" i="25"/>
  <c r="G57" i="25"/>
  <c r="F57" i="25"/>
  <c r="G56" i="25"/>
  <c r="F56" i="25"/>
  <c r="G55" i="25"/>
  <c r="F55" i="25"/>
  <c r="G54" i="25"/>
  <c r="F54" i="25"/>
  <c r="G53" i="25"/>
  <c r="F53" i="25"/>
  <c r="G52" i="25"/>
  <c r="F52" i="25"/>
  <c r="G51" i="25"/>
  <c r="F51" i="25"/>
  <c r="G50" i="25"/>
  <c r="F50" i="25"/>
  <c r="G49" i="25"/>
  <c r="F49" i="25"/>
  <c r="G48" i="25"/>
  <c r="F48" i="25"/>
  <c r="G47" i="25"/>
  <c r="F47" i="25"/>
  <c r="G46" i="25"/>
  <c r="F46" i="25"/>
  <c r="G45" i="25"/>
  <c r="F45" i="25"/>
  <c r="G44" i="25"/>
  <c r="F44" i="25"/>
  <c r="G43" i="25"/>
  <c r="F43" i="25"/>
  <c r="G42" i="25"/>
  <c r="F42" i="25"/>
  <c r="G41" i="25"/>
  <c r="F41" i="25"/>
  <c r="G40" i="25"/>
  <c r="F40" i="25"/>
  <c r="G39" i="25"/>
  <c r="F39" i="25"/>
  <c r="G38" i="25"/>
  <c r="F38" i="25"/>
  <c r="G37" i="25"/>
  <c r="F37" i="25"/>
  <c r="G36" i="25"/>
  <c r="F36" i="25"/>
  <c r="G35" i="25"/>
  <c r="F35" i="25"/>
  <c r="G34" i="25"/>
  <c r="F34" i="25"/>
  <c r="G33" i="25"/>
  <c r="F33" i="25"/>
  <c r="G32" i="25"/>
  <c r="F32" i="25"/>
  <c r="G31" i="25"/>
  <c r="F31" i="25"/>
  <c r="G30" i="25"/>
  <c r="F30" i="25"/>
  <c r="G29" i="25"/>
  <c r="F29" i="25"/>
  <c r="G28" i="25"/>
  <c r="F28" i="25"/>
  <c r="G27" i="25"/>
  <c r="F27" i="25"/>
  <c r="G26" i="25"/>
  <c r="F26" i="25"/>
  <c r="G25" i="25"/>
  <c r="F25" i="25"/>
  <c r="G24" i="25"/>
  <c r="F24" i="25"/>
  <c r="G23" i="25"/>
  <c r="F23" i="25"/>
  <c r="G22" i="25"/>
  <c r="F22" i="25"/>
  <c r="G21" i="25"/>
  <c r="F21" i="25"/>
  <c r="G20" i="25"/>
  <c r="F20" i="25"/>
  <c r="G19" i="25"/>
  <c r="F19" i="25"/>
  <c r="G18" i="25"/>
  <c r="F18" i="25"/>
  <c r="G17" i="25"/>
  <c r="F17" i="25"/>
  <c r="G16" i="25"/>
  <c r="G15" i="25"/>
  <c r="F15" i="25"/>
  <c r="G14" i="25"/>
  <c r="F14" i="25"/>
  <c r="G13" i="25"/>
  <c r="F13" i="25"/>
  <c r="G12" i="25"/>
  <c r="F12" i="25"/>
  <c r="G11" i="25"/>
  <c r="F11" i="25"/>
  <c r="G10" i="25"/>
  <c r="F10" i="25"/>
  <c r="G9" i="25"/>
  <c r="F9" i="25"/>
  <c r="G8" i="25"/>
  <c r="F8" i="25"/>
  <c r="G7" i="25"/>
  <c r="F7" i="25"/>
  <c r="G80" i="25" l="1"/>
  <c r="F80" i="25"/>
  <c r="E64" i="25"/>
  <c r="I79" i="25" l="1"/>
  <c r="I76" i="25" l="1"/>
  <c r="E82" i="25" l="1"/>
  <c r="K5" i="25"/>
  <c r="K8" i="25"/>
  <c r="K3" i="25"/>
  <c r="K2" i="25"/>
  <c r="L8" i="25" l="1"/>
  <c r="I78" i="25" l="1"/>
  <c r="I73" i="25"/>
  <c r="I66" i="25"/>
  <c r="I51" i="25"/>
  <c r="I47" i="25"/>
  <c r="I37" i="25"/>
  <c r="I21" i="25"/>
  <c r="I17" i="25"/>
  <c r="I7" i="25"/>
  <c r="E2" i="25"/>
  <c r="I67" i="25" l="1"/>
  <c r="I53" i="25"/>
  <c r="I19" i="25"/>
  <c r="I23" i="25"/>
  <c r="I35" i="25"/>
  <c r="I46" i="25"/>
  <c r="I54" i="25"/>
  <c r="I58" i="25"/>
  <c r="I74" i="25"/>
  <c r="I70" i="25"/>
  <c r="I10" i="25"/>
  <c r="I26" i="25"/>
  <c r="I30" i="25"/>
  <c r="I80" i="25"/>
  <c r="I65" i="25"/>
  <c r="I14" i="25"/>
  <c r="I36" i="25"/>
  <c r="I90" i="25"/>
  <c r="I45" i="25"/>
  <c r="I64" i="25"/>
  <c r="I12" i="25"/>
  <c r="I27" i="25"/>
  <c r="I34" i="25"/>
  <c r="I41" i="25"/>
  <c r="I69" i="25"/>
  <c r="I71" i="25"/>
  <c r="I77" i="25"/>
  <c r="I38" i="25"/>
  <c r="I40" i="25"/>
  <c r="I42" i="25"/>
  <c r="I44" i="25"/>
  <c r="I49" i="25"/>
  <c r="I55" i="25"/>
  <c r="I68" i="25"/>
  <c r="I11" i="25"/>
  <c r="I24" i="25"/>
  <c r="I28" i="25"/>
  <c r="I50" i="25"/>
  <c r="I52" i="25"/>
  <c r="I59" i="25"/>
  <c r="I72" i="25"/>
  <c r="I75" i="25"/>
  <c r="I62" i="25"/>
  <c r="E6" i="25"/>
  <c r="I8" i="25"/>
  <c r="I13" i="25"/>
  <c r="I15" i="25"/>
  <c r="I18" i="25"/>
  <c r="I22" i="25"/>
  <c r="I29" i="25"/>
  <c r="I31" i="25"/>
  <c r="I33" i="25"/>
  <c r="I57" i="25"/>
  <c r="I39" i="25"/>
  <c r="I56" i="25"/>
  <c r="I9" i="25"/>
  <c r="I16" i="25"/>
  <c r="I25" i="25"/>
  <c r="I32" i="25"/>
  <c r="I43" i="25"/>
  <c r="I48" i="25"/>
  <c r="H3" i="25"/>
  <c r="H4" i="25" s="1"/>
  <c r="I20" i="25"/>
  <c r="G3" i="25" l="1"/>
  <c r="G4" i="25" s="1"/>
  <c r="I6" i="25" l="1"/>
  <c r="E2" i="21" l="1"/>
  <c r="E32" i="21" l="1"/>
  <c r="E26" i="21"/>
  <c r="C26" i="21"/>
  <c r="E20" i="21"/>
  <c r="E13" i="21"/>
  <c r="D13" i="21"/>
  <c r="C12" i="21"/>
  <c r="G9" i="21" s="1"/>
  <c r="B12" i="21"/>
  <c r="F13" i="21" s="1"/>
  <c r="G8" i="21"/>
  <c r="G7" i="21"/>
  <c r="D7" i="21"/>
  <c r="C7" i="21"/>
  <c r="G13" i="21" l="1"/>
  <c r="H32" i="21"/>
  <c r="H33" i="21" s="1"/>
  <c r="I33" i="21" s="1"/>
  <c r="I91" i="25" l="1"/>
  <c r="I89" i="25" l="1"/>
  <c r="I88" i="25" l="1"/>
  <c r="I87" i="25" l="1"/>
  <c r="I86" i="25" l="1"/>
  <c r="I85" i="25" l="1"/>
  <c r="I84" i="25" l="1"/>
  <c r="I83" i="25" l="1"/>
  <c r="I82" i="25" l="1"/>
  <c r="F4" i="25"/>
  <c r="E4" i="25" l="1"/>
  <c r="E3" i="25"/>
</calcChain>
</file>

<file path=xl/comments1.xml><?xml version="1.0" encoding="utf-8"?>
<comments xmlns="http://schemas.openxmlformats.org/spreadsheetml/2006/main">
  <authors>
    <author>Автор</author>
  </authors>
  <commentList>
    <comment ref="K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Дементьев, Центр Сибирь</t>
        </r>
      </text>
    </comment>
  </commentList>
</comments>
</file>

<file path=xl/sharedStrings.xml><?xml version="1.0" encoding="utf-8"?>
<sst xmlns="http://schemas.openxmlformats.org/spreadsheetml/2006/main" count="542" uniqueCount="209">
  <si>
    <t>№ п/п</t>
  </si>
  <si>
    <t>Наименование Субъекта</t>
  </si>
  <si>
    <t>ВСЕГО/Сумма к возмещению</t>
  </si>
  <si>
    <t xml:space="preserve">Округ </t>
  </si>
  <si>
    <t>Город</t>
  </si>
  <si>
    <t>обзор заявок</t>
  </si>
  <si>
    <t>ВСЕГО</t>
  </si>
  <si>
    <t>поступило</t>
  </si>
  <si>
    <t>РАСПРЕДЕЛЕНО</t>
  </si>
  <si>
    <t>ОСТАТОК</t>
  </si>
  <si>
    <t>аренда</t>
  </si>
  <si>
    <t>всего</t>
  </si>
  <si>
    <t>оборудование</t>
  </si>
  <si>
    <t>сырье</t>
  </si>
  <si>
    <t>№ заявки</t>
  </si>
  <si>
    <t>ИП Клебан Лидия Николаевна</t>
  </si>
  <si>
    <t>ИП Золотаренко Полина Андреевна</t>
  </si>
  <si>
    <t>ИП Моисеенко Анна Евгеньевна</t>
  </si>
  <si>
    <t>ИП Ситдикова Елена Владимировна</t>
  </si>
  <si>
    <t>ИП Устимов Роман Петрович</t>
  </si>
  <si>
    <t>ИП Рожкова Елена Радионовна</t>
  </si>
  <si>
    <t>ИП Малышева Татьяна Владимировна</t>
  </si>
  <si>
    <t>ИП Максимов Виктор Викторович</t>
  </si>
  <si>
    <t>ИП Галиева Рузалия Илюсовна</t>
  </si>
  <si>
    <t>ИП Даянова Юлия Николаевна</t>
  </si>
  <si>
    <t>ИП Хитрук Константин Геннадьевич</t>
  </si>
  <si>
    <t>ИП Шишлаков Михаил Геннадиевич</t>
  </si>
  <si>
    <t>ИП Сапрыгина Наталья Владимировна</t>
  </si>
  <si>
    <t>ИП Кяспер Надежда Александровна</t>
  </si>
  <si>
    <t>ИП Тимофеева Тамара Николаевна</t>
  </si>
  <si>
    <t>ИП Васильева Галина Исидоровна</t>
  </si>
  <si>
    <t>ИП Асланова Любовь Элман кызы</t>
  </si>
  <si>
    <t>ИП Сопикова Елена Владимировна</t>
  </si>
  <si>
    <t>ИП Бисултанов Адам Висханович</t>
  </si>
  <si>
    <t>ИП Берзения Ражден Вахтангиевич</t>
  </si>
  <si>
    <t>ИП Звонарева Олеся Николаевна</t>
  </si>
  <si>
    <t>ИП Новиков Дмитрий Александрович</t>
  </si>
  <si>
    <t>ИП Новикова Оксана Борисовна</t>
  </si>
  <si>
    <t>ООО "Арум Вита"</t>
  </si>
  <si>
    <t>ИП Шевченко Юлия Владимировна</t>
  </si>
  <si>
    <t>ИП Михайленко Степан Сергеевич</t>
  </si>
  <si>
    <t>ИП Салаватова Гузелия Искяндаровна</t>
  </si>
  <si>
    <t>ООО "Корсика"</t>
  </si>
  <si>
    <t>ООО "Фабрика чистоты"</t>
  </si>
  <si>
    <t>ИП Целышев Алексей Александрович</t>
  </si>
  <si>
    <t>ООО "Счастливый случай"</t>
  </si>
  <si>
    <t>заявок (без задвоения)</t>
  </si>
  <si>
    <t>положительные</t>
  </si>
  <si>
    <t>отказано</t>
  </si>
  <si>
    <t>ИП Скутина Радуга Владимировна</t>
  </si>
  <si>
    <t>ЛС</t>
  </si>
  <si>
    <t>АК</t>
  </si>
  <si>
    <t>ОКВЭД</t>
  </si>
  <si>
    <t>Бюджет МСП 2023 (РП (АК+ЛС) + городской бюджет)</t>
  </si>
  <si>
    <t>План рег.проекты</t>
  </si>
  <si>
    <t>План городской бюджет</t>
  </si>
  <si>
    <t>Бюджет</t>
  </si>
  <si>
    <t>план на 01.01.2023</t>
  </si>
  <si>
    <t>округ</t>
  </si>
  <si>
    <t>сырье (доп фин ноябрь)</t>
  </si>
  <si>
    <t>город (соф) 5%</t>
  </si>
  <si>
    <t>Федорова (доп фин декабрь)</t>
  </si>
  <si>
    <t>итого</t>
  </si>
  <si>
    <t>план на 15.12.2023</t>
  </si>
  <si>
    <t>первый набор (март, июнь, июль) - поступило 99 заявок</t>
  </si>
  <si>
    <t>из них АК 11,05 ЛС 2 890</t>
  </si>
  <si>
    <t>количество положительных заключений</t>
  </si>
  <si>
    <t>сумма к выплате (положит. экспертизы)</t>
  </si>
  <si>
    <t>выплачено по приказу №33/27-п от 26.05.2023</t>
  </si>
  <si>
    <t>не выплачено (отсутств. лимитов)</t>
  </si>
  <si>
    <t xml:space="preserve">количество </t>
  </si>
  <si>
    <t>сумма</t>
  </si>
  <si>
    <t>количество</t>
  </si>
  <si>
    <t>доп. финансирование1 (округ - доп.соглашения по РП)</t>
  </si>
  <si>
    <t>сумма (план)</t>
  </si>
  <si>
    <t>доп. финансирование2 (город+перемещение)</t>
  </si>
  <si>
    <t>сумма доп фин (ноябрь)</t>
  </si>
  <si>
    <t>перемещением денежных средств</t>
  </si>
  <si>
    <t>выплачено по приказу № 92/27-п от 01.12.2023</t>
  </si>
  <si>
    <r>
      <t xml:space="preserve">8 (-1), из них </t>
    </r>
    <r>
      <rPr>
        <b/>
        <sz val="11"/>
        <color theme="1"/>
        <rFont val="Calibri"/>
        <family val="2"/>
        <charset val="204"/>
      </rPr>
      <t>3 новых</t>
    </r>
  </si>
  <si>
    <t>доп набор (13.10-13.11) - поступило 5 заявок</t>
  </si>
  <si>
    <t>сумма к возмещению</t>
  </si>
  <si>
    <t>выплачено по приказу № 91/27-п от 28.11.2023</t>
  </si>
  <si>
    <t>перемещение (экономия УМТО)</t>
  </si>
  <si>
    <t>требуется доп.фин (доплатить)</t>
  </si>
  <si>
    <t>ИП Федорова Гузель Равильевна</t>
  </si>
  <si>
    <t>выплачено по приказу приказ №79/27-п от 30.10.2023</t>
  </si>
  <si>
    <t>ООО "Шторм"</t>
  </si>
  <si>
    <t>ООО "Западно-Сибирская Туристическая компания"</t>
  </si>
  <si>
    <t>ООО "Планета детства"</t>
  </si>
  <si>
    <t>ООО "Яркий город"</t>
  </si>
  <si>
    <t>ООО "АльМед"</t>
  </si>
  <si>
    <t xml:space="preserve">ИП Хомяк Галина Юрьевна </t>
  </si>
  <si>
    <t xml:space="preserve">ИП Павлова Наталья Сергеевна </t>
  </si>
  <si>
    <t>ИП Билоус Светлана Сайфулловна</t>
  </si>
  <si>
    <t>ИП Букренева Наталья Викторовна</t>
  </si>
  <si>
    <t>ИП Евсюков Виталий Алексеевич</t>
  </si>
  <si>
    <t>ООО "Гранит"</t>
  </si>
  <si>
    <t>ИП Журавлёва Татьяна Валентиновна</t>
  </si>
  <si>
    <t>ИП Устимова Эльмира Павловна</t>
  </si>
  <si>
    <t>ИП Гриценко Александра Петровна</t>
  </si>
  <si>
    <t>ИП Антоненко Юрий Валерьевич</t>
  </si>
  <si>
    <t xml:space="preserve">ИП Куц Артем Леонидович </t>
  </si>
  <si>
    <t xml:space="preserve">ИП Андреева Елена Павловна </t>
  </si>
  <si>
    <t>ИП Антипова Татьяна Николаевна</t>
  </si>
  <si>
    <t>ООО "Центр-Сибирь"</t>
  </si>
  <si>
    <t>ИП Ольховая Ирина Владимировна</t>
  </si>
  <si>
    <t>ИП Федоров Евгений Владимирович</t>
  </si>
  <si>
    <t>ИП Давлетшина Валентина Юрьевна</t>
  </si>
  <si>
    <t>ООО "ЮграПромСервис"</t>
  </si>
  <si>
    <t>ООО "Ёжкин Кот"</t>
  </si>
  <si>
    <t>ИП Толстогузова Любовь Владимировна</t>
  </si>
  <si>
    <t>ООО "Зооцентр-Айболит-Н"</t>
  </si>
  <si>
    <t>ООО "РАТУР бизнес тревел"</t>
  </si>
  <si>
    <t>ИП Машканцев Вячеслав Сергеевич</t>
  </si>
  <si>
    <t>ИП Рубцов Олег Михайлович</t>
  </si>
  <si>
    <t>ООО "Тротуар Дизайн"</t>
  </si>
  <si>
    <t xml:space="preserve">ИП Иванова Софья Сергеевна </t>
  </si>
  <si>
    <t>ИП Кузнецова Людмила Николаевна</t>
  </si>
  <si>
    <t>ИП Панцевич Ольга Сергеевна</t>
  </si>
  <si>
    <t>ООО "Аристо"</t>
  </si>
  <si>
    <t>ИП Николаева Светлана Николаевна</t>
  </si>
  <si>
    <t>ИП Березовская Кристина Андреевна</t>
  </si>
  <si>
    <t>ООО "ИТ Сервис"</t>
  </si>
  <si>
    <t>ИП Котт Мария Васильевна</t>
  </si>
  <si>
    <t>ИП Гудимова Оксана Николаевна</t>
  </si>
  <si>
    <t>ООО "Агентство путешествий "Пальма"</t>
  </si>
  <si>
    <t>ООО "ПолиграфИнвест-сервис"</t>
  </si>
  <si>
    <t>ИП Туркова Светлана Александровна</t>
  </si>
  <si>
    <t xml:space="preserve">ИП Свечников Дмитрий Алексеевич </t>
  </si>
  <si>
    <t>ИП Богданов Денис Владимирович</t>
  </si>
  <si>
    <t>ИП Колмогорцева Светлана Мансаровна</t>
  </si>
  <si>
    <t>ИП Могилевцев Александр Ефимович</t>
  </si>
  <si>
    <t>ИП Курбанова Эльмира Магомедовна</t>
  </si>
  <si>
    <t xml:space="preserve">ИП Дементьев Иван Евгеньевич </t>
  </si>
  <si>
    <t>ИП Герасимова Ирина Александровна</t>
  </si>
  <si>
    <t>ООО "ТехОртоСфера"</t>
  </si>
  <si>
    <t>ИП Депутат Сергей Валерьевич</t>
  </si>
  <si>
    <t>ООО "ОТИ ТУР"</t>
  </si>
  <si>
    <t>ООО "Эвкалипт"</t>
  </si>
  <si>
    <t>ООО "ТА "Три Желания"</t>
  </si>
  <si>
    <t>Софин (город) 5%</t>
  </si>
  <si>
    <t>к выплате в 1 пот</t>
  </si>
  <si>
    <t>не хватило</t>
  </si>
  <si>
    <t xml:space="preserve">социальное предприятие </t>
  </si>
  <si>
    <t>14.19</t>
  </si>
  <si>
    <t>положительные 1 поток (03.04.2024-02.05.2024)</t>
  </si>
  <si>
    <t>14.14</t>
  </si>
  <si>
    <t>79.11</t>
  </si>
  <si>
    <t>14.13</t>
  </si>
  <si>
    <t>город (сырье)</t>
  </si>
  <si>
    <t>23.70</t>
  </si>
  <si>
    <t>38.12</t>
  </si>
  <si>
    <t>95.29</t>
  </si>
  <si>
    <t>10.13.</t>
  </si>
  <si>
    <t>10.71.</t>
  </si>
  <si>
    <t>74.20.</t>
  </si>
  <si>
    <t>16.29.</t>
  </si>
  <si>
    <t>15.12.</t>
  </si>
  <si>
    <t>95.11</t>
  </si>
  <si>
    <t>10.39.2</t>
  </si>
  <si>
    <t>13.92.</t>
  </si>
  <si>
    <t>10.71.1</t>
  </si>
  <si>
    <t>74.20</t>
  </si>
  <si>
    <t>95.29.</t>
  </si>
  <si>
    <t>75.00.</t>
  </si>
  <si>
    <t>95.21</t>
  </si>
  <si>
    <t>95.22.1.</t>
  </si>
  <si>
    <t>75.00</t>
  </si>
  <si>
    <t>31.09.2.</t>
  </si>
  <si>
    <t>23.61.</t>
  </si>
  <si>
    <t>58.11.1.</t>
  </si>
  <si>
    <t>96.01.</t>
  </si>
  <si>
    <t>10.13.4.</t>
  </si>
  <si>
    <t>95.29.1.</t>
  </si>
  <si>
    <t>32.50.</t>
  </si>
  <si>
    <t>79.11.</t>
  </si>
  <si>
    <t>Получатели - 1 поток</t>
  </si>
  <si>
    <t>отказано (1 и 2 этапы)</t>
  </si>
  <si>
    <t>и 2 частично</t>
  </si>
  <si>
    <t>частично</t>
  </si>
  <si>
    <t xml:space="preserve">95.11 </t>
  </si>
  <si>
    <t>96.01</t>
  </si>
  <si>
    <t>13.92</t>
  </si>
  <si>
    <t>95.29.1</t>
  </si>
  <si>
    <t>58.19</t>
  </si>
  <si>
    <t>75.00.2</t>
  </si>
  <si>
    <t>Получатель субсидии/ наименование оборудования (основных средств), лицензионного программного продукта</t>
  </si>
  <si>
    <t>Вид деятельности субъекта малого и среднего предпринимательства</t>
  </si>
  <si>
    <t xml:space="preserve">Размер 
субсидии
(части субсидий) 
за счет средств 
бюджета города
(руб.)
</t>
  </si>
  <si>
    <t>Возмещение затрат субъектам малого и среднего предпринимательства, осуществляющим социально значимые виды деятельности в муниципальном образовании, в рамках основного мероприятия «Финансовая поддержка субъектов малого и среднего предпринимательства, осуществляющих социально значимые виды деятельности в муниципальном образовании»</t>
  </si>
  <si>
    <t xml:space="preserve">Возмещение части затрат на аренду (субаренду) нежилых помещений </t>
  </si>
  <si>
    <t>Возмещение части затрат по приобретению оборудования (основных средств) и лицензионных программных продуктов</t>
  </si>
  <si>
    <t>Возмещение части затрат на приобретение сырья, необходимого для производства продуктов питания</t>
  </si>
  <si>
    <t>социальное предприятие</t>
  </si>
  <si>
    <t xml:space="preserve">Список
субъектов малого и среднего предпринимательства,
которым предоставлена субсидия, с указанием размера субсидии
и вида субсидируемых затрат </t>
  </si>
  <si>
    <t>ИП Котт Мария Васильевна (швейная машина Necchi NC-205D, серийный номер B230IM000899, в кол-ве 1 шт.)</t>
  </si>
  <si>
    <t>ООО "ПолиграфИнвест-сервис" (принтер Kyocera fs4200dn пробег do85tys ! оригинал toner fv гарантия в кол-ве 1 шт. серийный номер NU62802879,
принтер Kyocera fs4200dn пробег do85tys ! оригинал toner fv гарантия в кол-ве 1 шт. серийный номер V1S4Y51883)</t>
  </si>
  <si>
    <t>ИП Даянова Юлия Николаевна (UG-Power 002 электрическая беговая дорожка/проф.оборуд. в кол-ве 1 шт., серийный номер 22J4D40A111027)</t>
  </si>
  <si>
    <t>ИП Богданов Денис Владимирович (ротационный пекарский шкаф РШП-16-6-4 серии EXPERT, в кол-ве 1 шт., серийный номер 00004)</t>
  </si>
  <si>
    <t>ИП Курбанова Эльмира Магомедовна (печь конвекционная Unox XB 893, 1860x882x1250 мм, 380 BB, 15.8 KBт, 10 листов 600х400, механическая панель, температурный режим: от 30 до 260 градусов, 2 скорости вентилятора + реверс, ручная подача влажности в камеру в кол-ве 1 шт., серийный номер 2022K0129021; тестомес Gastromix HS50B, в кол-ве 1 шт., серийный номер 2303002; шкаф раcстоечный Grill Master РПК 1 ДПК 22153, 800х995х1660 мм, темп режим 30-120 градусов. 220 В, 2 кВт в кол-ве 1 шт., серийный номер 575; шкаф морозильный POLAIR CB105-S, -18 градусов, 220 В, 697х695х1960 мм, от 0,4 до 0,55 кВт в кол-ве 1 шт., серийный номер К367160723; шкаф холодильный Polair CM105-S, 697x695x1960 мм, температура в камере: 0 … +7 градусов, объем – 500 л, глухая дверь в кол-ве 2 шт., серийные номера А115650723, А115630723)</t>
  </si>
  <si>
    <t>ООО "СлавтэкХлеб"</t>
  </si>
  <si>
    <t>ООО "Нижневартовский Молочный Завод"</t>
  </si>
  <si>
    <t>ИП Андреев Николай Игоревич</t>
  </si>
  <si>
    <t>ИП Войтенко Анастасия Александровна</t>
  </si>
  <si>
    <t xml:space="preserve"> 10.71</t>
  </si>
  <si>
    <t xml:space="preserve"> 58.19</t>
  </si>
  <si>
    <t xml:space="preserve"> 10.51</t>
  </si>
  <si>
    <t>Приложение 1 к приказу
от 06.12.2024 №108/27-П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</si>
</sst>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#,##0\ &quot;₽&quot;;[Red]\-#,##0\ &quot;₽&quot;"/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#,##0.00\ _₽"/>
    <numFmt numFmtId="165" formatCode="#,##0.00_ ;[Red]\-#,##0.00\ "/>
    <numFmt numFmtId="166" formatCode="#,##0_ ;[Red]\-#,##0\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8"/>
      <color rgb="FFFF0000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0070C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1"/>
      <color rgb="FFFF000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85D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3" fontId="11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1" fillId="0" borderId="0"/>
    <xf numFmtId="0" fontId="1" fillId="0" borderId="0"/>
  </cellStyleXfs>
  <cellXfs count="176">
    <xf numFmtId="0" fontId="0" fillId="0" borderId="0" xfId="0"/>
    <xf numFmtId="0" fontId="7" fillId="3" borderId="1" xfId="0" applyFont="1" applyFill="1" applyBorder="1"/>
    <xf numFmtId="0" fontId="9" fillId="0" borderId="0" xfId="0" applyFont="1"/>
    <xf numFmtId="0" fontId="10" fillId="4" borderId="1" xfId="0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0" xfId="0" applyNumberFormat="1" applyFont="1"/>
    <xf numFmtId="0" fontId="7" fillId="4" borderId="1" xfId="0" applyFont="1" applyFill="1" applyBorder="1"/>
    <xf numFmtId="4" fontId="7" fillId="7" borderId="1" xfId="0" applyNumberFormat="1" applyFont="1" applyFill="1" applyBorder="1" applyAlignment="1">
      <alignment horizontal="right"/>
    </xf>
    <xf numFmtId="4" fontId="5" fillId="6" borderId="1" xfId="0" applyNumberFormat="1" applyFont="1" applyFill="1" applyBorder="1" applyAlignment="1">
      <alignment horizontal="right"/>
    </xf>
    <xf numFmtId="4" fontId="5" fillId="7" borderId="1" xfId="0" applyNumberFormat="1" applyFont="1" applyFill="1" applyBorder="1" applyAlignment="1">
      <alignment horizontal="right"/>
    </xf>
    <xf numFmtId="4" fontId="5" fillId="9" borderId="1" xfId="0" applyNumberFormat="1" applyFont="1" applyFill="1" applyBorder="1" applyAlignment="1">
      <alignment horizontal="right"/>
    </xf>
    <xf numFmtId="4" fontId="7" fillId="9" borderId="1" xfId="0" applyNumberFormat="1" applyFont="1" applyFill="1" applyBorder="1" applyAlignment="1">
      <alignment horizontal="right"/>
    </xf>
    <xf numFmtId="0" fontId="5" fillId="3" borderId="1" xfId="0" applyFont="1" applyFill="1" applyBorder="1"/>
    <xf numFmtId="0" fontId="2" fillId="0" borderId="0" xfId="4"/>
    <xf numFmtId="0" fontId="15" fillId="0" borderId="0" xfId="4" applyFont="1"/>
    <xf numFmtId="4" fontId="2" fillId="0" borderId="1" xfId="4" applyNumberFormat="1" applyBorder="1" applyAlignment="1">
      <alignment horizontal="center"/>
    </xf>
    <xf numFmtId="4" fontId="15" fillId="0" borderId="1" xfId="4" applyNumberFormat="1" applyFont="1" applyBorder="1" applyAlignment="1">
      <alignment horizontal="center"/>
    </xf>
    <xf numFmtId="4" fontId="2" fillId="0" borderId="0" xfId="4" applyNumberFormat="1" applyAlignment="1">
      <alignment wrapText="1"/>
    </xf>
    <xf numFmtId="4" fontId="15" fillId="0" borderId="1" xfId="4" applyNumberFormat="1" applyFont="1" applyFill="1" applyBorder="1" applyAlignment="1">
      <alignment horizontal="center"/>
    </xf>
    <xf numFmtId="0" fontId="2" fillId="0" borderId="1" xfId="4" applyBorder="1" applyAlignment="1">
      <alignment horizontal="center"/>
    </xf>
    <xf numFmtId="0" fontId="2" fillId="10" borderId="1" xfId="4" applyFill="1" applyBorder="1" applyAlignment="1">
      <alignment horizontal="center"/>
    </xf>
    <xf numFmtId="0" fontId="2" fillId="11" borderId="1" xfId="4" applyFill="1" applyBorder="1" applyAlignment="1">
      <alignment horizontal="center"/>
    </xf>
    <xf numFmtId="0" fontId="2" fillId="4" borderId="1" xfId="4" applyFill="1" applyBorder="1" applyAlignment="1">
      <alignment horizontal="left"/>
    </xf>
    <xf numFmtId="0" fontId="2" fillId="0" borderId="1" xfId="4" applyBorder="1" applyAlignment="1">
      <alignment horizontal="left"/>
    </xf>
    <xf numFmtId="0" fontId="2" fillId="4" borderId="1" xfId="4" applyFill="1" applyBorder="1"/>
    <xf numFmtId="0" fontId="15" fillId="8" borderId="1" xfId="4" applyFont="1" applyFill="1" applyBorder="1" applyAlignment="1">
      <alignment horizontal="center"/>
    </xf>
    <xf numFmtId="4" fontId="15" fillId="8" borderId="1" xfId="4" applyNumberFormat="1" applyFont="1" applyFill="1" applyBorder="1" applyAlignment="1">
      <alignment horizontal="center"/>
    </xf>
    <xf numFmtId="0" fontId="15" fillId="8" borderId="1" xfId="4" applyFont="1" applyFill="1" applyBorder="1"/>
    <xf numFmtId="4" fontId="15" fillId="8" borderId="1" xfId="4" applyNumberFormat="1" applyFont="1" applyFill="1" applyBorder="1"/>
    <xf numFmtId="4" fontId="17" fillId="0" borderId="0" xfId="4" applyNumberFormat="1" applyFont="1"/>
    <xf numFmtId="0" fontId="18" fillId="0" borderId="0" xfId="4" applyFont="1"/>
    <xf numFmtId="0" fontId="15" fillId="0" borderId="1" xfId="4" applyFont="1" applyBorder="1" applyAlignment="1">
      <alignment horizontal="center" vertical="center" wrapText="1"/>
    </xf>
    <xf numFmtId="0" fontId="15" fillId="0" borderId="2" xfId="4" applyFont="1" applyBorder="1" applyAlignment="1">
      <alignment horizontal="center" vertical="center" wrapText="1"/>
    </xf>
    <xf numFmtId="0" fontId="2" fillId="0" borderId="1" xfId="4" applyBorder="1" applyAlignment="1">
      <alignment horizontal="center" vertical="center" wrapText="1"/>
    </xf>
    <xf numFmtId="0" fontId="2" fillId="0" borderId="6" xfId="4" applyFill="1" applyBorder="1" applyAlignment="1">
      <alignment horizontal="center" vertical="center" wrapText="1"/>
    </xf>
    <xf numFmtId="0" fontId="2" fillId="0" borderId="8" xfId="4" applyFill="1" applyBorder="1" applyAlignment="1">
      <alignment horizontal="center" vertical="center" wrapText="1"/>
    </xf>
    <xf numFmtId="4" fontId="2" fillId="0" borderId="0" xfId="4" applyNumberFormat="1"/>
    <xf numFmtId="0" fontId="5" fillId="4" borderId="1" xfId="5" applyNumberFormat="1" applyFont="1" applyFill="1" applyBorder="1" applyAlignment="1">
      <alignment horizontal="center"/>
    </xf>
    <xf numFmtId="4" fontId="5" fillId="4" borderId="1" xfId="5" applyNumberFormat="1" applyFont="1" applyFill="1" applyBorder="1" applyAlignment="1">
      <alignment horizontal="right"/>
    </xf>
    <xf numFmtId="4" fontId="2" fillId="4" borderId="1" xfId="4" applyNumberFormat="1" applyFill="1" applyBorder="1"/>
    <xf numFmtId="4" fontId="2" fillId="0" borderId="1" xfId="4" applyNumberFormat="1" applyBorder="1" applyAlignment="1">
      <alignment horizontal="center" vertical="center"/>
    </xf>
    <xf numFmtId="0" fontId="15" fillId="0" borderId="1" xfId="4" applyFont="1" applyBorder="1" applyAlignment="1">
      <alignment horizontal="center"/>
    </xf>
    <xf numFmtId="4" fontId="2" fillId="0" borderId="0" xfId="4" applyNumberFormat="1" applyBorder="1" applyAlignment="1">
      <alignment horizontal="center"/>
    </xf>
    <xf numFmtId="4" fontId="2" fillId="0" borderId="0" xfId="4" applyNumberFormat="1" applyBorder="1"/>
    <xf numFmtId="0" fontId="2" fillId="0" borderId="0" xfId="4" applyBorder="1"/>
    <xf numFmtId="0" fontId="2" fillId="0" borderId="1" xfId="4" applyFont="1" applyBorder="1" applyAlignment="1">
      <alignment horizontal="center"/>
    </xf>
    <xf numFmtId="4" fontId="5" fillId="4" borderId="1" xfId="5" applyNumberFormat="1" applyFont="1" applyFill="1" applyBorder="1" applyAlignment="1">
      <alignment horizontal="center"/>
    </xf>
    <xf numFmtId="4" fontId="2" fillId="4" borderId="1" xfId="4" applyNumberFormat="1" applyFill="1" applyBorder="1" applyAlignment="1">
      <alignment horizontal="center"/>
    </xf>
    <xf numFmtId="4" fontId="7" fillId="4" borderId="1" xfId="5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44" fontId="13" fillId="4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/>
    <xf numFmtId="0" fontId="7" fillId="4" borderId="1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4" fontId="7" fillId="8" borderId="1" xfId="0" applyNumberFormat="1" applyFont="1" applyFill="1" applyBorder="1" applyAlignment="1">
      <alignment horizontal="center"/>
    </xf>
    <xf numFmtId="164" fontId="7" fillId="8" borderId="1" xfId="0" applyNumberFormat="1" applyFont="1" applyFill="1" applyBorder="1" applyAlignment="1">
      <alignment horizontal="center" vertical="top"/>
    </xf>
    <xf numFmtId="165" fontId="5" fillId="0" borderId="1" xfId="0" applyNumberFormat="1" applyFont="1" applyFill="1" applyBorder="1" applyAlignment="1">
      <alignment horizontal="center" vertical="center"/>
    </xf>
    <xf numFmtId="165" fontId="12" fillId="4" borderId="1" xfId="0" applyNumberFormat="1" applyFont="1" applyFill="1" applyBorder="1" applyAlignment="1">
      <alignment horizontal="center" vertical="center"/>
    </xf>
    <xf numFmtId="165" fontId="10" fillId="12" borderId="1" xfId="0" applyNumberFormat="1" applyFont="1" applyFill="1" applyBorder="1" applyAlignment="1">
      <alignment horizontal="center" vertical="center"/>
    </xf>
    <xf numFmtId="165" fontId="10" fillId="12" borderId="1" xfId="0" applyNumberFormat="1" applyFont="1" applyFill="1" applyBorder="1" applyAlignment="1">
      <alignment horizontal="center" vertical="center" wrapText="1"/>
    </xf>
    <xf numFmtId="165" fontId="13" fillId="12" borderId="1" xfId="0" applyNumberFormat="1" applyFont="1" applyFill="1" applyBorder="1" applyAlignment="1">
      <alignment horizontal="center" vertical="center"/>
    </xf>
    <xf numFmtId="165" fontId="7" fillId="12" borderId="1" xfId="0" applyNumberFormat="1" applyFont="1" applyFill="1" applyBorder="1" applyAlignment="1">
      <alignment horizontal="center"/>
    </xf>
    <xf numFmtId="165" fontId="6" fillId="0" borderId="0" xfId="0" applyNumberFormat="1" applyFont="1"/>
    <xf numFmtId="165" fontId="10" fillId="0" borderId="1" xfId="0" applyNumberFormat="1" applyFont="1" applyFill="1" applyBorder="1" applyAlignment="1">
      <alignment horizontal="center" vertical="center" wrapText="1"/>
    </xf>
    <xf numFmtId="0" fontId="12" fillId="13" borderId="1" xfId="0" applyNumberFormat="1" applyFont="1" applyFill="1" applyBorder="1" applyAlignment="1">
      <alignment horizontal="center" vertical="center" wrapText="1"/>
    </xf>
    <xf numFmtId="1" fontId="12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14" borderId="1" xfId="0" applyNumberFormat="1" applyFont="1" applyFill="1" applyBorder="1" applyAlignment="1">
      <alignment horizontal="center" vertical="center" wrapText="1"/>
    </xf>
    <xf numFmtId="1" fontId="12" fillId="14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13" borderId="3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/>
    <xf numFmtId="0" fontId="26" fillId="3" borderId="1" xfId="0" applyFont="1" applyFill="1" applyBorder="1"/>
    <xf numFmtId="165" fontId="14" fillId="0" borderId="0" xfId="0" applyNumberFormat="1" applyFont="1"/>
    <xf numFmtId="4" fontId="5" fillId="6" borderId="1" xfId="0" applyNumberFormat="1" applyFont="1" applyFill="1" applyBorder="1" applyAlignment="1">
      <alignment horizontal="right" wrapText="1"/>
    </xf>
    <xf numFmtId="0" fontId="7" fillId="4" borderId="1" xfId="0" applyFont="1" applyFill="1" applyBorder="1" applyAlignment="1">
      <alignment wrapText="1"/>
    </xf>
    <xf numFmtId="164" fontId="7" fillId="4" borderId="1" xfId="0" applyNumberFormat="1" applyFont="1" applyFill="1" applyBorder="1" applyAlignment="1">
      <alignment horizont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left" vertical="center" wrapText="1"/>
    </xf>
    <xf numFmtId="6" fontId="27" fillId="0" borderId="1" xfId="0" applyNumberFormat="1" applyFont="1" applyBorder="1" applyAlignment="1">
      <alignment horizontal="right"/>
    </xf>
    <xf numFmtId="166" fontId="27" fillId="0" borderId="1" xfId="0" applyNumberFormat="1" applyFont="1" applyBorder="1" applyAlignment="1">
      <alignment horizontal="center"/>
    </xf>
    <xf numFmtId="164" fontId="7" fillId="4" borderId="1" xfId="0" applyNumberFormat="1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5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4" borderId="0" xfId="0" applyFont="1" applyFill="1" applyAlignment="1">
      <alignment wrapText="1"/>
    </xf>
    <xf numFmtId="4" fontId="6" fillId="0" borderId="0" xfId="0" applyNumberFormat="1" applyFont="1" applyAlignment="1">
      <alignment wrapText="1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30" fillId="0" borderId="0" xfId="0" applyFont="1"/>
    <xf numFmtId="0" fontId="5" fillId="8" borderId="1" xfId="0" applyFont="1" applyFill="1" applyBorder="1"/>
    <xf numFmtId="0" fontId="5" fillId="8" borderId="1" xfId="0" applyFont="1" applyFill="1" applyBorder="1" applyAlignment="1">
      <alignment horizontal="center"/>
    </xf>
    <xf numFmtId="0" fontId="26" fillId="5" borderId="1" xfId="0" applyFont="1" applyFill="1" applyBorder="1"/>
    <xf numFmtId="0" fontId="31" fillId="5" borderId="1" xfId="0" applyFont="1" applyFill="1" applyBorder="1" applyAlignment="1">
      <alignment horizontal="center"/>
    </xf>
    <xf numFmtId="165" fontId="24" fillId="0" borderId="0" xfId="0" applyNumberFormat="1" applyFont="1" applyAlignment="1">
      <alignment horizontal="center"/>
    </xf>
    <xf numFmtId="0" fontId="5" fillId="15" borderId="1" xfId="0" applyFont="1" applyFill="1" applyBorder="1"/>
    <xf numFmtId="0" fontId="7" fillId="15" borderId="1" xfId="0" applyFont="1" applyFill="1" applyBorder="1" applyAlignment="1">
      <alignment wrapText="1"/>
    </xf>
    <xf numFmtId="0" fontId="5" fillId="15" borderId="1" xfId="0" applyFont="1" applyFill="1" applyBorder="1" applyAlignment="1">
      <alignment horizontal="center"/>
    </xf>
    <xf numFmtId="0" fontId="7" fillId="9" borderId="1" xfId="0" applyFont="1" applyFill="1" applyBorder="1"/>
    <xf numFmtId="0" fontId="5" fillId="9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 wrapText="1"/>
    </xf>
    <xf numFmtId="0" fontId="10" fillId="9" borderId="1" xfId="0" applyFont="1" applyFill="1" applyBorder="1" applyAlignment="1">
      <alignment horizontal="left" vertical="center"/>
    </xf>
    <xf numFmtId="165" fontId="10" fillId="9" borderId="1" xfId="0" applyNumberFormat="1" applyFont="1" applyFill="1" applyBorder="1" applyAlignment="1">
      <alignment horizontal="center" vertical="center" wrapText="1"/>
    </xf>
    <xf numFmtId="0" fontId="35" fillId="0" borderId="0" xfId="0" applyFont="1" applyFill="1"/>
    <xf numFmtId="4" fontId="35" fillId="0" borderId="0" xfId="0" applyNumberFormat="1" applyFont="1" applyFill="1" applyAlignment="1">
      <alignment horizontal="center"/>
    </xf>
    <xf numFmtId="4" fontId="35" fillId="0" borderId="0" xfId="0" applyNumberFormat="1" applyFont="1" applyFill="1"/>
    <xf numFmtId="4" fontId="32" fillId="0" borderId="0" xfId="0" applyNumberFormat="1" applyFont="1" applyFill="1" applyAlignment="1">
      <alignment wrapText="1"/>
    </xf>
    <xf numFmtId="0" fontId="32" fillId="0" borderId="0" xfId="0" applyFont="1" applyFill="1" applyAlignment="1">
      <alignment wrapText="1"/>
    </xf>
    <xf numFmtId="0" fontId="34" fillId="4" borderId="1" xfId="0" applyFont="1" applyFill="1" applyBorder="1" applyAlignment="1">
      <alignment horizontal="center" vertical="center" wrapText="1"/>
    </xf>
    <xf numFmtId="4" fontId="34" fillId="4" borderId="1" xfId="0" applyNumberFormat="1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left" vertical="center"/>
    </xf>
    <xf numFmtId="164" fontId="32" fillId="4" borderId="1" xfId="0" applyNumberFormat="1" applyFont="1" applyFill="1" applyBorder="1" applyAlignment="1">
      <alignment horizontal="center" wrapText="1"/>
    </xf>
    <xf numFmtId="165" fontId="32" fillId="4" borderId="1" xfId="0" applyNumberFormat="1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 wrapText="1"/>
    </xf>
    <xf numFmtId="164" fontId="32" fillId="4" borderId="1" xfId="0" applyNumberFormat="1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justify" vertical="center" wrapText="1"/>
    </xf>
    <xf numFmtId="165" fontId="32" fillId="4" borderId="1" xfId="0" applyNumberFormat="1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/>
    </xf>
    <xf numFmtId="0" fontId="35" fillId="4" borderId="0" xfId="0" applyFont="1" applyFill="1"/>
    <xf numFmtId="0" fontId="32" fillId="4" borderId="0" xfId="0" applyFont="1" applyFill="1" applyAlignment="1">
      <alignment wrapText="1"/>
    </xf>
    <xf numFmtId="4" fontId="35" fillId="4" borderId="0" xfId="0" applyNumberFormat="1" applyFont="1" applyFill="1" applyAlignment="1">
      <alignment horizontal="center"/>
    </xf>
    <xf numFmtId="0" fontId="15" fillId="0" borderId="1" xfId="4" applyFont="1" applyBorder="1" applyAlignment="1">
      <alignment horizontal="center" vertical="center"/>
    </xf>
    <xf numFmtId="4" fontId="2" fillId="0" borderId="3" xfId="4" applyNumberFormat="1" applyBorder="1" applyAlignment="1">
      <alignment horizontal="center" vertical="center"/>
    </xf>
    <xf numFmtId="4" fontId="2" fillId="0" borderId="6" xfId="4" applyNumberFormat="1" applyBorder="1" applyAlignment="1">
      <alignment horizontal="center" vertical="center"/>
    </xf>
    <xf numFmtId="4" fontId="2" fillId="0" borderId="0" xfId="4" applyNumberFormat="1" applyAlignment="1">
      <alignment horizontal="left" wrapText="1"/>
    </xf>
    <xf numFmtId="4" fontId="2" fillId="0" borderId="8" xfId="4" applyNumberFormat="1" applyBorder="1" applyAlignment="1">
      <alignment horizontal="left" wrapText="1"/>
    </xf>
    <xf numFmtId="4" fontId="16" fillId="0" borderId="7" xfId="4" applyNumberFormat="1" applyFont="1" applyBorder="1" applyAlignment="1">
      <alignment horizontal="center" wrapText="1"/>
    </xf>
    <xf numFmtId="0" fontId="15" fillId="0" borderId="2" xfId="4" applyFont="1" applyBorder="1" applyAlignment="1">
      <alignment horizontal="center" vertical="center" wrapText="1"/>
    </xf>
    <xf numFmtId="0" fontId="15" fillId="0" borderId="5" xfId="4" applyFont="1" applyBorder="1" applyAlignment="1">
      <alignment horizontal="center" vertical="center" wrapText="1"/>
    </xf>
    <xf numFmtId="0" fontId="15" fillId="0" borderId="1" xfId="4" applyFont="1" applyFill="1" applyBorder="1" applyAlignment="1">
      <alignment horizontal="center" vertical="center" wrapText="1"/>
    </xf>
    <xf numFmtId="0" fontId="2" fillId="0" borderId="1" xfId="4" applyBorder="1" applyAlignment="1">
      <alignment horizontal="center" vertical="center"/>
    </xf>
    <xf numFmtId="0" fontId="14" fillId="0" borderId="1" xfId="4" applyFont="1" applyBorder="1" applyAlignment="1">
      <alignment horizontal="center" wrapText="1"/>
    </xf>
    <xf numFmtId="0" fontId="15" fillId="0" borderId="0" xfId="4" applyFont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2" fillId="0" borderId="1" xfId="4" applyBorder="1" applyAlignment="1">
      <alignment horizontal="center"/>
    </xf>
    <xf numFmtId="0" fontId="20" fillId="0" borderId="0" xfId="4" applyFont="1" applyBorder="1" applyAlignment="1">
      <alignment horizontal="center" wrapText="1"/>
    </xf>
    <xf numFmtId="0" fontId="15" fillId="0" borderId="3" xfId="4" applyFont="1" applyBorder="1" applyAlignment="1">
      <alignment horizontal="center" vertical="center" wrapText="1"/>
    </xf>
    <xf numFmtId="0" fontId="15" fillId="0" borderId="6" xfId="4" applyFont="1" applyBorder="1" applyAlignment="1">
      <alignment horizontal="center" vertical="center" wrapText="1"/>
    </xf>
    <xf numFmtId="0" fontId="21" fillId="0" borderId="3" xfId="4" applyFont="1" applyBorder="1" applyAlignment="1">
      <alignment horizontal="center" vertical="center" wrapText="1"/>
    </xf>
    <xf numFmtId="0" fontId="21" fillId="0" borderId="6" xfId="4" applyFont="1" applyBorder="1" applyAlignment="1">
      <alignment horizontal="center" vertical="center" wrapText="1"/>
    </xf>
    <xf numFmtId="0" fontId="23" fillId="10" borderId="3" xfId="4" applyFont="1" applyFill="1" applyBorder="1" applyAlignment="1">
      <alignment horizontal="center" vertical="center" wrapText="1"/>
    </xf>
    <xf numFmtId="0" fontId="23" fillId="10" borderId="6" xfId="4" applyFont="1" applyFill="1" applyBorder="1" applyAlignment="1">
      <alignment horizontal="center" vertical="center" wrapText="1"/>
    </xf>
    <xf numFmtId="164" fontId="34" fillId="4" borderId="2" xfId="0" applyNumberFormat="1" applyFont="1" applyFill="1" applyBorder="1" applyAlignment="1">
      <alignment horizontal="center" vertical="center" wrapText="1"/>
    </xf>
    <xf numFmtId="164" fontId="34" fillId="4" borderId="4" xfId="0" applyNumberFormat="1" applyFont="1" applyFill="1" applyBorder="1" applyAlignment="1">
      <alignment horizontal="center" vertical="center" wrapText="1"/>
    </xf>
    <xf numFmtId="164" fontId="34" fillId="4" borderId="5" xfId="0" applyNumberFormat="1" applyFont="1" applyFill="1" applyBorder="1" applyAlignment="1">
      <alignment horizontal="center" vertical="center" wrapText="1"/>
    </xf>
    <xf numFmtId="4" fontId="34" fillId="0" borderId="0" xfId="0" applyNumberFormat="1" applyFont="1" applyFill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4" fontId="32" fillId="0" borderId="0" xfId="0" applyNumberFormat="1" applyFont="1" applyFill="1" applyAlignment="1">
      <alignment horizontal="right" vertical="center" wrapText="1"/>
    </xf>
    <xf numFmtId="0" fontId="33" fillId="4" borderId="1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right" vertical="center" wrapText="1"/>
    </xf>
    <xf numFmtId="164" fontId="5" fillId="0" borderId="4" xfId="0" applyNumberFormat="1" applyFont="1" applyFill="1" applyBorder="1" applyAlignment="1">
      <alignment horizontal="right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right" vertical="center" wrapText="1"/>
    </xf>
    <xf numFmtId="164" fontId="5" fillId="9" borderId="1" xfId="0" applyNumberFormat="1" applyFont="1" applyFill="1" applyBorder="1" applyAlignment="1">
      <alignment horizontal="right" vertical="center" wrapText="1"/>
    </xf>
    <xf numFmtId="0" fontId="8" fillId="5" borderId="1" xfId="0" applyFont="1" applyFill="1" applyBorder="1" applyAlignment="1">
      <alignment horizontal="center"/>
    </xf>
  </cellXfs>
  <cellStyles count="7"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бычный 4" xfId="6"/>
    <cellStyle name="Финансовый 2" xfId="1"/>
  </cellStyles>
  <dxfs count="0"/>
  <tableStyles count="0" defaultTableStyle="TableStyleMedium2" defaultPivotStyle="PivotStyleLight16"/>
  <colors>
    <mruColors>
      <color rgb="FFFB85D9"/>
      <color rgb="FFF82C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view="pageBreakPreview" topLeftCell="A10" zoomScaleNormal="100" zoomScaleSheetLayoutView="100" workbookViewId="0">
      <selection activeCell="F17" sqref="F17:F19"/>
    </sheetView>
  </sheetViews>
  <sheetFormatPr defaultColWidth="9.140625" defaultRowHeight="15" x14ac:dyDescent="0.25"/>
  <cols>
    <col min="1" max="1" width="9.140625" style="17"/>
    <col min="2" max="3" width="19" style="17" customWidth="1"/>
    <col min="4" max="4" width="21.85546875" style="17" customWidth="1"/>
    <col min="5" max="5" width="17.7109375" style="17" customWidth="1"/>
    <col min="6" max="6" width="28.28515625" style="17" customWidth="1"/>
    <col min="7" max="7" width="14.7109375" style="17" customWidth="1"/>
    <col min="8" max="8" width="18.85546875" style="17" customWidth="1"/>
    <col min="9" max="9" width="19.28515625" style="17" customWidth="1"/>
    <col min="10" max="10" width="26.28515625" style="17" customWidth="1"/>
    <col min="11" max="16384" width="9.140625" style="17"/>
  </cols>
  <sheetData>
    <row r="1" spans="2:9" x14ac:dyDescent="0.25">
      <c r="B1" s="21"/>
      <c r="C1" s="21"/>
      <c r="D1" s="21"/>
      <c r="F1" s="21"/>
      <c r="G1" s="21"/>
      <c r="H1" s="21"/>
    </row>
    <row r="2" spans="2:9" ht="15" customHeight="1" x14ac:dyDescent="0.25">
      <c r="B2" s="138" t="s">
        <v>53</v>
      </c>
      <c r="C2" s="138"/>
      <c r="D2" s="139"/>
      <c r="E2" s="22">
        <f>C7+D7+G7</f>
        <v>22650731.009999998</v>
      </c>
      <c r="F2" s="21"/>
      <c r="G2" s="21"/>
      <c r="H2" s="21"/>
    </row>
    <row r="3" spans="2:9" x14ac:dyDescent="0.25">
      <c r="B3" s="140" t="s">
        <v>54</v>
      </c>
      <c r="C3" s="140"/>
      <c r="D3" s="140"/>
      <c r="F3" s="140" t="s">
        <v>55</v>
      </c>
      <c r="G3" s="140"/>
      <c r="H3" s="21"/>
    </row>
    <row r="4" spans="2:9" x14ac:dyDescent="0.25">
      <c r="B4" s="23" t="s">
        <v>56</v>
      </c>
      <c r="C4" s="24" t="s">
        <v>51</v>
      </c>
      <c r="D4" s="25" t="s">
        <v>50</v>
      </c>
      <c r="F4" s="26" t="s">
        <v>57</v>
      </c>
      <c r="G4" s="19">
        <v>2867000</v>
      </c>
    </row>
    <row r="5" spans="2:9" x14ac:dyDescent="0.25">
      <c r="B5" s="27" t="s">
        <v>58</v>
      </c>
      <c r="C5" s="19">
        <v>15556800</v>
      </c>
      <c r="D5" s="19">
        <v>1125200</v>
      </c>
      <c r="F5" s="28" t="s">
        <v>59</v>
      </c>
      <c r="G5" s="19">
        <v>2100000</v>
      </c>
    </row>
    <row r="6" spans="2:9" x14ac:dyDescent="0.25">
      <c r="B6" s="27" t="s">
        <v>60</v>
      </c>
      <c r="C6" s="19">
        <v>818790</v>
      </c>
      <c r="D6" s="19">
        <v>59290</v>
      </c>
      <c r="F6" s="28" t="s">
        <v>61</v>
      </c>
      <c r="G6" s="19">
        <v>123651.01</v>
      </c>
    </row>
    <row r="7" spans="2:9" x14ac:dyDescent="0.25">
      <c r="B7" s="29" t="s">
        <v>62</v>
      </c>
      <c r="C7" s="30">
        <f>C6+C5</f>
        <v>16375590</v>
      </c>
      <c r="D7" s="30">
        <f>D6+D5</f>
        <v>1184490</v>
      </c>
      <c r="F7" s="31" t="s">
        <v>63</v>
      </c>
      <c r="G7" s="32">
        <f>SUM(G4:G6)</f>
        <v>5090651.01</v>
      </c>
    </row>
    <row r="8" spans="2:9" x14ac:dyDescent="0.25">
      <c r="G8" s="33">
        <f>C7+D7+G4+G5</f>
        <v>22527080</v>
      </c>
    </row>
    <row r="9" spans="2:9" x14ac:dyDescent="0.25">
      <c r="B9" s="18" t="s">
        <v>64</v>
      </c>
      <c r="C9" s="18"/>
      <c r="G9" s="33">
        <f>C12-G8</f>
        <v>-2901.0500000007451</v>
      </c>
      <c r="H9" s="34" t="s">
        <v>65</v>
      </c>
    </row>
    <row r="11" spans="2:9" ht="45" customHeight="1" x14ac:dyDescent="0.25">
      <c r="B11" s="35" t="s">
        <v>66</v>
      </c>
      <c r="C11" s="36" t="s">
        <v>67</v>
      </c>
      <c r="D11" s="141" t="s">
        <v>68</v>
      </c>
      <c r="E11" s="142"/>
      <c r="F11" s="143" t="s">
        <v>69</v>
      </c>
      <c r="G11" s="143"/>
      <c r="H11" s="21"/>
    </row>
    <row r="12" spans="2:9" x14ac:dyDescent="0.25">
      <c r="B12" s="135">
        <f>70+3+1+1</f>
        <v>75</v>
      </c>
      <c r="C12" s="136">
        <f>21342578.95+1181600</f>
        <v>22524178.949999999</v>
      </c>
      <c r="D12" s="37" t="s">
        <v>70</v>
      </c>
      <c r="E12" s="37" t="s">
        <v>71</v>
      </c>
      <c r="F12" s="38" t="s">
        <v>72</v>
      </c>
      <c r="G12" s="39" t="s">
        <v>71</v>
      </c>
      <c r="I12" s="40"/>
    </row>
    <row r="13" spans="2:9" x14ac:dyDescent="0.25">
      <c r="B13" s="135"/>
      <c r="C13" s="137"/>
      <c r="D13" s="41">
        <f>37+3+1+1</f>
        <v>42</v>
      </c>
      <c r="E13" s="42">
        <f>9875894.74+1128631.58+2867000</f>
        <v>13871526.32</v>
      </c>
      <c r="F13" s="23">
        <f>B12-D13</f>
        <v>33</v>
      </c>
      <c r="G13" s="43">
        <f>C12-E13</f>
        <v>8652652.629999999</v>
      </c>
    </row>
    <row r="15" spans="2:9" x14ac:dyDescent="0.25">
      <c r="B15" s="18" t="s">
        <v>73</v>
      </c>
      <c r="C15" s="18"/>
      <c r="D15" s="18"/>
    </row>
    <row r="16" spans="2:9" x14ac:dyDescent="0.25">
      <c r="B16" s="18"/>
      <c r="C16" s="18"/>
      <c r="D16" s="18"/>
    </row>
    <row r="17" spans="2:10" ht="30.75" customHeight="1" x14ac:dyDescent="0.25">
      <c r="B17" s="144" t="s">
        <v>74</v>
      </c>
      <c r="C17" s="144"/>
      <c r="D17" s="145" t="s">
        <v>86</v>
      </c>
      <c r="E17" s="145"/>
      <c r="F17" s="146"/>
      <c r="G17" s="147"/>
      <c r="H17" s="147"/>
    </row>
    <row r="18" spans="2:10" ht="15" customHeight="1" x14ac:dyDescent="0.25">
      <c r="B18" s="144"/>
      <c r="C18" s="144"/>
      <c r="D18" s="148" t="s">
        <v>70</v>
      </c>
      <c r="E18" s="148" t="s">
        <v>71</v>
      </c>
      <c r="F18" s="146"/>
      <c r="G18" s="147"/>
      <c r="H18" s="147"/>
    </row>
    <row r="19" spans="2:10" x14ac:dyDescent="0.25">
      <c r="B19" s="24" t="s">
        <v>51</v>
      </c>
      <c r="C19" s="44">
        <v>6499690</v>
      </c>
      <c r="D19" s="148"/>
      <c r="E19" s="148"/>
      <c r="F19" s="146"/>
      <c r="G19" s="147"/>
      <c r="H19" s="147"/>
      <c r="J19" s="40"/>
    </row>
    <row r="20" spans="2:10" x14ac:dyDescent="0.25">
      <c r="B20" s="25" t="s">
        <v>50</v>
      </c>
      <c r="C20" s="19">
        <v>55790</v>
      </c>
      <c r="D20" s="45">
        <v>30</v>
      </c>
      <c r="E20" s="20">
        <f>6192781.06+52968.42</f>
        <v>6245749.4799999995</v>
      </c>
      <c r="F20" s="46"/>
      <c r="G20" s="46"/>
      <c r="H20" s="46"/>
      <c r="J20" s="40"/>
    </row>
    <row r="21" spans="2:10" x14ac:dyDescent="0.25">
      <c r="E21" s="40"/>
      <c r="F21" s="47"/>
      <c r="G21" s="149"/>
      <c r="H21" s="149"/>
    </row>
    <row r="22" spans="2:10" x14ac:dyDescent="0.25">
      <c r="B22" s="18" t="s">
        <v>75</v>
      </c>
      <c r="C22" s="18"/>
      <c r="D22" s="18"/>
      <c r="F22" s="47"/>
      <c r="G22" s="47"/>
      <c r="H22" s="48"/>
    </row>
    <row r="23" spans="2:10" x14ac:dyDescent="0.25">
      <c r="F23" s="47"/>
      <c r="G23" s="47"/>
      <c r="H23" s="48"/>
    </row>
    <row r="24" spans="2:10" ht="33.75" customHeight="1" x14ac:dyDescent="0.25">
      <c r="B24" s="150" t="s">
        <v>76</v>
      </c>
      <c r="C24" s="152" t="s">
        <v>77</v>
      </c>
      <c r="D24" s="141" t="s">
        <v>78</v>
      </c>
      <c r="E24" s="142"/>
      <c r="F24" s="40"/>
      <c r="G24" s="40"/>
      <c r="H24" s="40"/>
    </row>
    <row r="25" spans="2:10" x14ac:dyDescent="0.25">
      <c r="B25" s="151"/>
      <c r="C25" s="153"/>
      <c r="D25" s="23" t="s">
        <v>70</v>
      </c>
      <c r="E25" s="23" t="s">
        <v>71</v>
      </c>
      <c r="F25" s="40"/>
    </row>
    <row r="26" spans="2:10" x14ac:dyDescent="0.25">
      <c r="B26" s="19">
        <v>2098520</v>
      </c>
      <c r="C26" s="19">
        <f>1000+480</f>
        <v>1480</v>
      </c>
      <c r="D26" s="49" t="s">
        <v>79</v>
      </c>
      <c r="E26" s="20">
        <f>2100000</f>
        <v>2100000</v>
      </c>
      <c r="F26" s="40"/>
    </row>
    <row r="28" spans="2:10" x14ac:dyDescent="0.25">
      <c r="B28" s="18" t="s">
        <v>80</v>
      </c>
      <c r="C28" s="18"/>
    </row>
    <row r="30" spans="2:10" ht="45" x14ac:dyDescent="0.25">
      <c r="B30" s="35" t="s">
        <v>66</v>
      </c>
      <c r="C30" s="36" t="s">
        <v>81</v>
      </c>
      <c r="D30" s="141" t="s">
        <v>82</v>
      </c>
      <c r="E30" s="142"/>
      <c r="F30" s="143" t="s">
        <v>83</v>
      </c>
      <c r="G30" s="143"/>
      <c r="H30" s="154" t="s">
        <v>84</v>
      </c>
    </row>
    <row r="31" spans="2:10" x14ac:dyDescent="0.25">
      <c r="B31" s="144">
        <v>1</v>
      </c>
      <c r="C31" s="136">
        <v>730554.16</v>
      </c>
      <c r="D31" s="37" t="s">
        <v>70</v>
      </c>
      <c r="E31" s="37" t="s">
        <v>71</v>
      </c>
      <c r="F31" s="38" t="s">
        <v>72</v>
      </c>
      <c r="G31" s="39" t="s">
        <v>71</v>
      </c>
      <c r="H31" s="155"/>
    </row>
    <row r="32" spans="2:10" x14ac:dyDescent="0.25">
      <c r="B32" s="144"/>
      <c r="C32" s="137"/>
      <c r="D32" s="41">
        <v>1</v>
      </c>
      <c r="E32" s="50">
        <f>300000+306903.15</f>
        <v>606903.15</v>
      </c>
      <c r="F32" s="23">
        <v>1</v>
      </c>
      <c r="G32" s="51">
        <v>6400</v>
      </c>
      <c r="H32" s="22">
        <f>C31-E32-G32</f>
        <v>117251.01000000001</v>
      </c>
    </row>
    <row r="33" spans="8:9" x14ac:dyDescent="0.25">
      <c r="H33" s="52">
        <f>G32+H32</f>
        <v>123651.01000000001</v>
      </c>
      <c r="I33" s="40">
        <f>C31-E32-H33</f>
        <v>0</v>
      </c>
    </row>
  </sheetData>
  <mergeCells count="23">
    <mergeCell ref="G21:H21"/>
    <mergeCell ref="B24:B25"/>
    <mergeCell ref="C24:C25"/>
    <mergeCell ref="D24:E24"/>
    <mergeCell ref="D30:E30"/>
    <mergeCell ref="F30:G30"/>
    <mergeCell ref="H30:H31"/>
    <mergeCell ref="B31:B32"/>
    <mergeCell ref="C31:C32"/>
    <mergeCell ref="B17:C18"/>
    <mergeCell ref="D17:E17"/>
    <mergeCell ref="F17:F19"/>
    <mergeCell ref="G17:G19"/>
    <mergeCell ref="H17:H19"/>
    <mergeCell ref="D18:D19"/>
    <mergeCell ref="E18:E19"/>
    <mergeCell ref="B12:B13"/>
    <mergeCell ref="C12:C13"/>
    <mergeCell ref="B2:D2"/>
    <mergeCell ref="B3:D3"/>
    <mergeCell ref="F3:G3"/>
    <mergeCell ref="D11:E11"/>
    <mergeCell ref="F11:G11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55"/>
  <sheetViews>
    <sheetView tabSelected="1" view="pageBreakPreview" zoomScale="80" zoomScaleNormal="100" zoomScaleSheetLayoutView="80" workbookViewId="0">
      <selection sqref="A1:D2"/>
    </sheetView>
  </sheetViews>
  <sheetFormatPr defaultColWidth="9.140625" defaultRowHeight="18.75" x14ac:dyDescent="0.3"/>
  <cols>
    <col min="1" max="1" width="5" style="115" customWidth="1"/>
    <col min="2" max="2" width="65.85546875" style="115" customWidth="1"/>
    <col min="3" max="3" width="31.140625" style="119" customWidth="1"/>
    <col min="4" max="4" width="18.7109375" style="116" customWidth="1"/>
    <col min="5" max="5" width="14.7109375" style="8" customWidth="1"/>
    <col min="6" max="6" width="30.85546875" style="8" customWidth="1"/>
    <col min="7" max="7" width="13.42578125" style="8" customWidth="1"/>
    <col min="8" max="8" width="14.85546875" style="8" customWidth="1"/>
    <col min="9" max="9" width="28.28515625" style="8" customWidth="1"/>
    <col min="10" max="10" width="13.5703125" style="8" customWidth="1"/>
    <col min="11" max="11" width="13.140625" style="8" customWidth="1"/>
    <col min="12" max="12" width="27.140625" style="8" customWidth="1"/>
    <col min="13" max="13" width="14.28515625" style="8" customWidth="1"/>
    <col min="14" max="14" width="11.42578125" style="8" bestFit="1" customWidth="1"/>
    <col min="15" max="16384" width="9.140625" style="8"/>
  </cols>
  <sheetData>
    <row r="1" spans="1:6" ht="15" customHeight="1" x14ac:dyDescent="0.25">
      <c r="A1" s="161" t="s">
        <v>208</v>
      </c>
      <c r="B1" s="161"/>
      <c r="C1" s="161"/>
      <c r="D1" s="161"/>
    </row>
    <row r="2" spans="1:6" ht="32.25" customHeight="1" x14ac:dyDescent="0.25">
      <c r="A2" s="161"/>
      <c r="B2" s="161"/>
      <c r="C2" s="161"/>
      <c r="D2" s="161"/>
    </row>
    <row r="3" spans="1:6" ht="79.5" customHeight="1" x14ac:dyDescent="0.25">
      <c r="A3" s="159" t="s">
        <v>195</v>
      </c>
      <c r="B3" s="159"/>
      <c r="C3" s="159"/>
      <c r="D3" s="159"/>
    </row>
    <row r="4" spans="1:6" ht="180.75" customHeight="1" x14ac:dyDescent="0.25">
      <c r="A4" s="120" t="s">
        <v>0</v>
      </c>
      <c r="B4" s="120" t="s">
        <v>187</v>
      </c>
      <c r="C4" s="120" t="s">
        <v>188</v>
      </c>
      <c r="D4" s="121" t="s">
        <v>189</v>
      </c>
      <c r="E4" s="95"/>
      <c r="F4" s="95"/>
    </row>
    <row r="5" spans="1:6" ht="81" customHeight="1" x14ac:dyDescent="0.25">
      <c r="A5" s="162" t="s">
        <v>190</v>
      </c>
      <c r="B5" s="162"/>
      <c r="C5" s="162"/>
      <c r="D5" s="162"/>
      <c r="E5" s="95"/>
      <c r="F5" s="95"/>
    </row>
    <row r="6" spans="1:6" ht="29.25" customHeight="1" x14ac:dyDescent="0.25">
      <c r="A6" s="160" t="s">
        <v>191</v>
      </c>
      <c r="B6" s="160"/>
      <c r="C6" s="160"/>
      <c r="D6" s="160"/>
      <c r="E6" s="95"/>
      <c r="F6" s="95"/>
    </row>
    <row r="7" spans="1:6" ht="15.75" customHeight="1" x14ac:dyDescent="0.3">
      <c r="A7" s="122">
        <v>1</v>
      </c>
      <c r="B7" s="123" t="s">
        <v>121</v>
      </c>
      <c r="C7" s="124" t="s">
        <v>153</v>
      </c>
      <c r="D7" s="125">
        <f>40772.63-147.35</f>
        <v>40625.279999999999</v>
      </c>
      <c r="E7" s="2"/>
    </row>
    <row r="8" spans="1:6" x14ac:dyDescent="0.3">
      <c r="A8" s="122">
        <v>2</v>
      </c>
      <c r="B8" s="123" t="s">
        <v>140</v>
      </c>
      <c r="C8" s="124" t="s">
        <v>148</v>
      </c>
      <c r="D8" s="125">
        <v>57600</v>
      </c>
    </row>
    <row r="9" spans="1:6" x14ac:dyDescent="0.3">
      <c r="A9" s="122">
        <v>3</v>
      </c>
      <c r="B9" s="123" t="s">
        <v>37</v>
      </c>
      <c r="C9" s="124" t="s">
        <v>163</v>
      </c>
      <c r="D9" s="125">
        <v>60000</v>
      </c>
    </row>
    <row r="10" spans="1:6" x14ac:dyDescent="0.3">
      <c r="A10" s="122">
        <v>4</v>
      </c>
      <c r="B10" s="123" t="s">
        <v>36</v>
      </c>
      <c r="C10" s="124" t="s">
        <v>163</v>
      </c>
      <c r="D10" s="125">
        <v>219000</v>
      </c>
    </row>
    <row r="11" spans="1:6" x14ac:dyDescent="0.3">
      <c r="A11" s="122">
        <v>5</v>
      </c>
      <c r="B11" s="123" t="s">
        <v>122</v>
      </c>
      <c r="C11" s="124" t="s">
        <v>205</v>
      </c>
      <c r="D11" s="125">
        <v>300000</v>
      </c>
    </row>
    <row r="12" spans="1:6" x14ac:dyDescent="0.3">
      <c r="A12" s="122">
        <v>6</v>
      </c>
      <c r="B12" s="123" t="s">
        <v>123</v>
      </c>
      <c r="C12" s="124" t="s">
        <v>181</v>
      </c>
      <c r="D12" s="125">
        <v>67500</v>
      </c>
    </row>
    <row r="13" spans="1:6" x14ac:dyDescent="0.3">
      <c r="A13" s="122">
        <v>7</v>
      </c>
      <c r="B13" s="123" t="s">
        <v>124</v>
      </c>
      <c r="C13" s="124" t="s">
        <v>145</v>
      </c>
      <c r="D13" s="125">
        <v>12000</v>
      </c>
    </row>
    <row r="14" spans="1:6" x14ac:dyDescent="0.3">
      <c r="A14" s="122">
        <v>8</v>
      </c>
      <c r="B14" s="123" t="s">
        <v>15</v>
      </c>
      <c r="C14" s="124" t="s">
        <v>182</v>
      </c>
      <c r="D14" s="126">
        <v>210000</v>
      </c>
    </row>
    <row r="15" spans="1:6" x14ac:dyDescent="0.3">
      <c r="A15" s="122">
        <v>9</v>
      </c>
      <c r="B15" s="123" t="s">
        <v>203</v>
      </c>
      <c r="C15" s="127" t="s">
        <v>159</v>
      </c>
      <c r="D15" s="125">
        <v>52500</v>
      </c>
    </row>
    <row r="16" spans="1:6" x14ac:dyDescent="0.3">
      <c r="A16" s="122">
        <v>10</v>
      </c>
      <c r="B16" s="123" t="s">
        <v>42</v>
      </c>
      <c r="C16" s="127" t="s">
        <v>183</v>
      </c>
      <c r="D16" s="125">
        <v>278880</v>
      </c>
    </row>
    <row r="17" spans="1:5" ht="23.25" customHeight="1" x14ac:dyDescent="0.3">
      <c r="A17" s="122">
        <v>11</v>
      </c>
      <c r="B17" s="123" t="s">
        <v>125</v>
      </c>
      <c r="C17" s="127" t="s">
        <v>194</v>
      </c>
      <c r="D17" s="125">
        <v>300000</v>
      </c>
    </row>
    <row r="18" spans="1:5" x14ac:dyDescent="0.3">
      <c r="A18" s="122">
        <v>12</v>
      </c>
      <c r="B18" s="123" t="s">
        <v>204</v>
      </c>
      <c r="C18" s="127" t="s">
        <v>184</v>
      </c>
      <c r="D18" s="125">
        <v>114400</v>
      </c>
    </row>
    <row r="19" spans="1:5" x14ac:dyDescent="0.3">
      <c r="A19" s="122">
        <v>13</v>
      </c>
      <c r="B19" s="123" t="s">
        <v>126</v>
      </c>
      <c r="C19" s="127" t="s">
        <v>148</v>
      </c>
      <c r="D19" s="125">
        <v>300000</v>
      </c>
    </row>
    <row r="20" spans="1:5" x14ac:dyDescent="0.3">
      <c r="A20" s="122">
        <v>14</v>
      </c>
      <c r="B20" s="123" t="s">
        <v>127</v>
      </c>
      <c r="C20" s="127" t="s">
        <v>185</v>
      </c>
      <c r="D20" s="125">
        <v>276100</v>
      </c>
    </row>
    <row r="21" spans="1:5" x14ac:dyDescent="0.3">
      <c r="A21" s="122">
        <v>15</v>
      </c>
      <c r="B21" s="123" t="s">
        <v>128</v>
      </c>
      <c r="C21" s="127" t="s">
        <v>145</v>
      </c>
      <c r="D21" s="125">
        <v>105000</v>
      </c>
    </row>
    <row r="22" spans="1:5" ht="24" customHeight="1" x14ac:dyDescent="0.3">
      <c r="A22" s="122">
        <v>16</v>
      </c>
      <c r="B22" s="123" t="s">
        <v>24</v>
      </c>
      <c r="C22" s="127" t="s">
        <v>194</v>
      </c>
      <c r="D22" s="125">
        <v>300000</v>
      </c>
    </row>
    <row r="23" spans="1:5" x14ac:dyDescent="0.3">
      <c r="A23" s="122">
        <v>17</v>
      </c>
      <c r="B23" s="123" t="s">
        <v>129</v>
      </c>
      <c r="C23" s="124" t="s">
        <v>205</v>
      </c>
      <c r="D23" s="125">
        <v>300000</v>
      </c>
    </row>
    <row r="24" spans="1:5" x14ac:dyDescent="0.3">
      <c r="A24" s="122">
        <v>18</v>
      </c>
      <c r="B24" s="123" t="s">
        <v>130</v>
      </c>
      <c r="C24" s="124" t="s">
        <v>205</v>
      </c>
      <c r="D24" s="125">
        <v>300000</v>
      </c>
    </row>
    <row r="25" spans="1:5" x14ac:dyDescent="0.3">
      <c r="A25" s="122">
        <v>19</v>
      </c>
      <c r="B25" s="123" t="s">
        <v>131</v>
      </c>
      <c r="C25" s="127" t="s">
        <v>194</v>
      </c>
      <c r="D25" s="125">
        <v>180000</v>
      </c>
    </row>
    <row r="26" spans="1:5" x14ac:dyDescent="0.3">
      <c r="A26" s="122">
        <v>20</v>
      </c>
      <c r="B26" s="123" t="s">
        <v>132</v>
      </c>
      <c r="C26" s="127" t="s">
        <v>194</v>
      </c>
      <c r="D26" s="125">
        <v>300000</v>
      </c>
    </row>
    <row r="27" spans="1:5" x14ac:dyDescent="0.3">
      <c r="A27" s="122">
        <v>21</v>
      </c>
      <c r="B27" s="123" t="s">
        <v>40</v>
      </c>
      <c r="C27" s="127" t="s">
        <v>186</v>
      </c>
      <c r="D27" s="125">
        <v>300000</v>
      </c>
    </row>
    <row r="28" spans="1:5" x14ac:dyDescent="0.3">
      <c r="A28" s="122">
        <v>22</v>
      </c>
      <c r="B28" s="123" t="s">
        <v>133</v>
      </c>
      <c r="C28" s="124" t="s">
        <v>205</v>
      </c>
      <c r="D28" s="125">
        <v>300000</v>
      </c>
    </row>
    <row r="29" spans="1:5" ht="45" customHeight="1" x14ac:dyDescent="0.25">
      <c r="A29" s="160" t="s">
        <v>192</v>
      </c>
      <c r="B29" s="160"/>
      <c r="C29" s="160"/>
      <c r="D29" s="160"/>
    </row>
    <row r="30" spans="1:5" ht="56.25" customHeight="1" x14ac:dyDescent="0.25">
      <c r="A30" s="122">
        <v>1</v>
      </c>
      <c r="B30" s="128" t="s">
        <v>196</v>
      </c>
      <c r="C30" s="127" t="s">
        <v>145</v>
      </c>
      <c r="D30" s="129">
        <v>19212.8</v>
      </c>
      <c r="E30" s="2"/>
    </row>
    <row r="31" spans="1:5" ht="112.5" x14ac:dyDescent="0.25">
      <c r="A31" s="122">
        <v>2</v>
      </c>
      <c r="B31" s="128" t="s">
        <v>197</v>
      </c>
      <c r="C31" s="127" t="s">
        <v>206</v>
      </c>
      <c r="D31" s="129">
        <v>46005.599999999999</v>
      </c>
    </row>
    <row r="32" spans="1:5" ht="56.25" x14ac:dyDescent="0.25">
      <c r="A32" s="122">
        <v>3</v>
      </c>
      <c r="B32" s="128" t="s">
        <v>198</v>
      </c>
      <c r="C32" s="130" t="s">
        <v>194</v>
      </c>
      <c r="D32" s="129">
        <v>144000</v>
      </c>
    </row>
    <row r="33" spans="1:5" ht="56.25" x14ac:dyDescent="0.25">
      <c r="A33" s="122">
        <v>4</v>
      </c>
      <c r="B33" s="128" t="s">
        <v>199</v>
      </c>
      <c r="C33" s="127" t="s">
        <v>205</v>
      </c>
      <c r="D33" s="129">
        <v>500000</v>
      </c>
    </row>
    <row r="34" spans="1:5" ht="322.5" customHeight="1" x14ac:dyDescent="0.25">
      <c r="A34" s="122">
        <v>5</v>
      </c>
      <c r="B34" s="128" t="s">
        <v>200</v>
      </c>
      <c r="C34" s="127" t="s">
        <v>205</v>
      </c>
      <c r="D34" s="129">
        <v>500000</v>
      </c>
    </row>
    <row r="35" spans="1:5" ht="48" customHeight="1" x14ac:dyDescent="0.25">
      <c r="A35" s="156" t="s">
        <v>193</v>
      </c>
      <c r="B35" s="157"/>
      <c r="C35" s="157"/>
      <c r="D35" s="158"/>
      <c r="E35" s="69"/>
    </row>
    <row r="36" spans="1:5" ht="18.75" customHeight="1" x14ac:dyDescent="0.3">
      <c r="A36" s="131">
        <v>1</v>
      </c>
      <c r="B36" s="123" t="s">
        <v>122</v>
      </c>
      <c r="C36" s="124" t="s">
        <v>205</v>
      </c>
      <c r="D36" s="125">
        <v>300000</v>
      </c>
      <c r="E36" s="2"/>
    </row>
    <row r="37" spans="1:5" x14ac:dyDescent="0.3">
      <c r="A37" s="131">
        <v>2</v>
      </c>
      <c r="B37" s="123" t="s">
        <v>202</v>
      </c>
      <c r="C37" s="124" t="s">
        <v>207</v>
      </c>
      <c r="D37" s="125">
        <v>300000</v>
      </c>
    </row>
    <row r="38" spans="1:5" x14ac:dyDescent="0.3">
      <c r="A38" s="131">
        <v>3</v>
      </c>
      <c r="B38" s="123" t="s">
        <v>201</v>
      </c>
      <c r="C38" s="124" t="s">
        <v>205</v>
      </c>
      <c r="D38" s="125">
        <v>300000</v>
      </c>
    </row>
    <row r="39" spans="1:5" x14ac:dyDescent="0.3">
      <c r="A39" s="131">
        <v>4</v>
      </c>
      <c r="B39" s="123" t="s">
        <v>129</v>
      </c>
      <c r="C39" s="124" t="s">
        <v>205</v>
      </c>
      <c r="D39" s="125">
        <v>300000</v>
      </c>
    </row>
    <row r="40" spans="1:5" x14ac:dyDescent="0.3">
      <c r="A40" s="131">
        <v>5</v>
      </c>
      <c r="B40" s="123" t="s">
        <v>130</v>
      </c>
      <c r="C40" s="124" t="s">
        <v>205</v>
      </c>
      <c r="D40" s="125">
        <v>300000</v>
      </c>
    </row>
    <row r="41" spans="1:5" x14ac:dyDescent="0.3">
      <c r="A41" s="131">
        <v>6</v>
      </c>
      <c r="B41" s="123" t="s">
        <v>133</v>
      </c>
      <c r="C41" s="124" t="s">
        <v>205</v>
      </c>
      <c r="D41" s="125">
        <v>41528.870000000003</v>
      </c>
    </row>
    <row r="42" spans="1:5" x14ac:dyDescent="0.3">
      <c r="A42" s="132"/>
      <c r="B42" s="132"/>
      <c r="C42" s="133"/>
      <c r="D42" s="134"/>
    </row>
    <row r="47" spans="1:5" x14ac:dyDescent="0.3">
      <c r="B47" s="117"/>
      <c r="C47" s="118"/>
    </row>
    <row r="48" spans="1:5" x14ac:dyDescent="0.3">
      <c r="B48" s="117"/>
      <c r="C48" s="118"/>
    </row>
    <row r="49" spans="1:11" x14ac:dyDescent="0.3">
      <c r="B49" s="117"/>
      <c r="C49" s="118"/>
    </row>
    <row r="50" spans="1:11" s="9" customFormat="1" x14ac:dyDescent="0.3">
      <c r="A50" s="115"/>
      <c r="B50" s="117"/>
      <c r="C50" s="118"/>
      <c r="D50" s="116"/>
      <c r="E50" s="8"/>
      <c r="F50" s="8"/>
      <c r="G50" s="8"/>
      <c r="H50" s="8"/>
      <c r="I50" s="8"/>
      <c r="J50" s="8"/>
      <c r="K50" s="8"/>
    </row>
    <row r="51" spans="1:11" s="9" customFormat="1" x14ac:dyDescent="0.3">
      <c r="A51" s="115"/>
      <c r="B51" s="117"/>
      <c r="C51" s="118"/>
      <c r="D51" s="116"/>
      <c r="E51" s="8"/>
      <c r="F51" s="8"/>
      <c r="G51" s="8"/>
      <c r="H51" s="8"/>
      <c r="I51" s="8"/>
      <c r="J51" s="8"/>
      <c r="K51" s="8"/>
    </row>
    <row r="52" spans="1:11" s="9" customFormat="1" x14ac:dyDescent="0.3">
      <c r="A52" s="115"/>
      <c r="B52" s="117"/>
      <c r="C52" s="118"/>
      <c r="D52" s="116"/>
      <c r="E52" s="8"/>
      <c r="F52" s="8"/>
      <c r="G52" s="8"/>
      <c r="H52" s="8"/>
      <c r="I52" s="8"/>
      <c r="J52" s="8"/>
      <c r="K52" s="8"/>
    </row>
    <row r="53" spans="1:11" s="9" customFormat="1" x14ac:dyDescent="0.3">
      <c r="A53" s="115"/>
      <c r="B53" s="117"/>
      <c r="C53" s="118"/>
      <c r="D53" s="116"/>
      <c r="E53" s="8"/>
      <c r="F53" s="8"/>
      <c r="G53" s="8"/>
      <c r="H53" s="8"/>
      <c r="I53" s="8"/>
      <c r="J53" s="8"/>
      <c r="K53" s="8"/>
    </row>
    <row r="54" spans="1:11" x14ac:dyDescent="0.3">
      <c r="B54" s="117"/>
      <c r="C54" s="118"/>
    </row>
    <row r="55" spans="1:11" x14ac:dyDescent="0.3">
      <c r="B55" s="117"/>
      <c r="C55" s="118"/>
    </row>
  </sheetData>
  <mergeCells count="6">
    <mergeCell ref="A35:D35"/>
    <mergeCell ref="A3:D3"/>
    <mergeCell ref="A29:D29"/>
    <mergeCell ref="A1:D2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view="pageBreakPreview" zoomScale="80" zoomScaleNormal="100" zoomScaleSheetLayoutView="80" workbookViewId="0">
      <selection activeCell="C74" sqref="C74"/>
    </sheetView>
  </sheetViews>
  <sheetFormatPr defaultColWidth="9.140625" defaultRowHeight="15" x14ac:dyDescent="0.25"/>
  <cols>
    <col min="1" max="2" width="5" style="95" customWidth="1"/>
    <col min="3" max="3" width="35.7109375" style="95" customWidth="1"/>
    <col min="4" max="4" width="23.85546875" style="96" customWidth="1"/>
    <col min="5" max="5" width="18.85546875" style="97" customWidth="1"/>
    <col min="6" max="6" width="16.7109375" style="97" customWidth="1"/>
    <col min="7" max="7" width="15.7109375" style="97" customWidth="1"/>
    <col min="8" max="8" width="14.7109375" style="97" customWidth="1"/>
    <col min="9" max="9" width="6.140625" style="8" customWidth="1"/>
    <col min="10" max="10" width="24.7109375" style="8" customWidth="1"/>
    <col min="11" max="11" width="13.42578125" style="8" customWidth="1"/>
    <col min="12" max="12" width="18" style="8" customWidth="1"/>
    <col min="13" max="13" width="14.85546875" style="8" customWidth="1"/>
    <col min="14" max="16384" width="9.140625" style="8"/>
  </cols>
  <sheetData>
    <row r="1" spans="1:16" ht="39.75" customHeight="1" x14ac:dyDescent="0.25">
      <c r="A1" s="6" t="s">
        <v>0</v>
      </c>
      <c r="B1" s="6" t="s">
        <v>14</v>
      </c>
      <c r="C1" s="6" t="s">
        <v>1</v>
      </c>
      <c r="D1" s="4" t="s">
        <v>52</v>
      </c>
      <c r="E1" s="4" t="s">
        <v>2</v>
      </c>
      <c r="F1" s="4" t="s">
        <v>3</v>
      </c>
      <c r="G1" s="4" t="s">
        <v>141</v>
      </c>
      <c r="H1" s="4" t="s">
        <v>4</v>
      </c>
      <c r="J1" s="98" t="s">
        <v>5</v>
      </c>
      <c r="K1" s="99"/>
    </row>
    <row r="2" spans="1:16" x14ac:dyDescent="0.25">
      <c r="A2" s="163" t="s">
        <v>6</v>
      </c>
      <c r="B2" s="163"/>
      <c r="C2" s="163"/>
      <c r="D2" s="163"/>
      <c r="E2" s="81">
        <f>SUM(E3:E69)</f>
        <v>18781434.539999999</v>
      </c>
      <c r="F2" s="81">
        <f>SUM(F3:F69)</f>
        <v>15213712.800000001</v>
      </c>
      <c r="G2" s="81">
        <f>SUM(G3:G69)</f>
        <v>800721.73999999987</v>
      </c>
      <c r="H2" s="81">
        <f>SUM(H3:H69)</f>
        <v>2767000</v>
      </c>
      <c r="I2" s="9" t="e">
        <f>E2-'ФП АК_1 пот_03.04-02.05'!E3-SUM(#REF!)</f>
        <v>#REF!</v>
      </c>
      <c r="J2" s="1" t="s">
        <v>7</v>
      </c>
      <c r="K2" s="100">
        <f>156-3-2</f>
        <v>151</v>
      </c>
    </row>
    <row r="3" spans="1:16" ht="15.75" x14ac:dyDescent="0.25">
      <c r="A3" s="82">
        <v>1</v>
      </c>
      <c r="B3" s="72">
        <v>2</v>
      </c>
      <c r="C3" s="54" t="s">
        <v>17</v>
      </c>
      <c r="D3" s="83" t="s">
        <v>144</v>
      </c>
      <c r="E3" s="84">
        <f>F3+G3+H3</f>
        <v>236540.15000000002</v>
      </c>
      <c r="F3" s="85">
        <v>224713.14</v>
      </c>
      <c r="G3" s="85">
        <v>11827.01</v>
      </c>
      <c r="H3" s="85">
        <v>0</v>
      </c>
      <c r="I3" s="8" t="s">
        <v>51</v>
      </c>
      <c r="J3" s="1" t="s">
        <v>46</v>
      </c>
      <c r="K3" s="100">
        <f>108+7</f>
        <v>115</v>
      </c>
      <c r="O3" s="69"/>
      <c r="P3" s="69"/>
    </row>
    <row r="4" spans="1:16" ht="30" x14ac:dyDescent="0.25">
      <c r="A4" s="82">
        <v>2</v>
      </c>
      <c r="B4" s="72">
        <v>3</v>
      </c>
      <c r="C4" s="54" t="s">
        <v>92</v>
      </c>
      <c r="D4" s="83" t="s">
        <v>145</v>
      </c>
      <c r="E4" s="84">
        <f t="shared" ref="E4:E68" si="0">F4+G4+H4</f>
        <v>307560</v>
      </c>
      <c r="F4" s="85">
        <f>234650+57532</f>
        <v>292182</v>
      </c>
      <c r="G4" s="85">
        <f>12350+3028</f>
        <v>15378</v>
      </c>
      <c r="H4" s="85">
        <v>0</v>
      </c>
      <c r="I4" s="8" t="s">
        <v>51</v>
      </c>
      <c r="J4" s="108" t="s">
        <v>146</v>
      </c>
      <c r="K4" s="109">
        <f>94+5</f>
        <v>99</v>
      </c>
      <c r="O4" s="69"/>
      <c r="P4" s="69"/>
    </row>
    <row r="5" spans="1:16" ht="15.75" x14ac:dyDescent="0.25">
      <c r="A5" s="82">
        <v>3</v>
      </c>
      <c r="B5" s="72">
        <v>5</v>
      </c>
      <c r="C5" s="54" t="s">
        <v>93</v>
      </c>
      <c r="D5" s="83" t="s">
        <v>144</v>
      </c>
      <c r="E5" s="84">
        <f t="shared" si="0"/>
        <v>300000</v>
      </c>
      <c r="F5" s="85">
        <v>285000</v>
      </c>
      <c r="G5" s="85">
        <v>15000</v>
      </c>
      <c r="H5" s="85">
        <v>0</v>
      </c>
      <c r="I5" s="8" t="s">
        <v>51</v>
      </c>
      <c r="J5" s="110" t="s">
        <v>178</v>
      </c>
      <c r="K5" s="111">
        <f>(13+2)+(1)</f>
        <v>16</v>
      </c>
      <c r="O5" s="69"/>
      <c r="P5" s="69"/>
    </row>
    <row r="6" spans="1:16" ht="15.75" x14ac:dyDescent="0.25">
      <c r="A6" s="82">
        <v>4</v>
      </c>
      <c r="B6" s="72">
        <v>7</v>
      </c>
      <c r="C6" s="54" t="s">
        <v>90</v>
      </c>
      <c r="D6" s="83" t="s">
        <v>144</v>
      </c>
      <c r="E6" s="84">
        <f t="shared" si="0"/>
        <v>300000</v>
      </c>
      <c r="F6" s="85">
        <v>285000</v>
      </c>
      <c r="G6" s="85">
        <v>15000</v>
      </c>
      <c r="H6" s="85">
        <v>0</v>
      </c>
      <c r="I6" s="8" t="s">
        <v>51</v>
      </c>
      <c r="J6" s="102" t="s">
        <v>177</v>
      </c>
      <c r="K6" s="103">
        <f>62+5</f>
        <v>67</v>
      </c>
      <c r="O6" s="69"/>
      <c r="P6" s="69"/>
    </row>
    <row r="7" spans="1:16" ht="31.5" x14ac:dyDescent="0.25">
      <c r="A7" s="82">
        <v>5</v>
      </c>
      <c r="B7" s="72">
        <v>8</v>
      </c>
      <c r="C7" s="54" t="s">
        <v>26</v>
      </c>
      <c r="D7" s="83" t="s">
        <v>144</v>
      </c>
      <c r="E7" s="84">
        <f t="shared" si="0"/>
        <v>97285</v>
      </c>
      <c r="F7" s="85">
        <v>92420.75</v>
      </c>
      <c r="G7" s="85">
        <v>4864.25</v>
      </c>
      <c r="H7" s="85">
        <v>0</v>
      </c>
      <c r="I7" s="8" t="s">
        <v>51</v>
      </c>
      <c r="J7" s="87" t="s">
        <v>51</v>
      </c>
      <c r="K7" s="88">
        <v>60</v>
      </c>
      <c r="O7" s="69"/>
      <c r="P7" s="69"/>
    </row>
    <row r="8" spans="1:16" ht="31.5" x14ac:dyDescent="0.25">
      <c r="A8" s="82">
        <v>6</v>
      </c>
      <c r="B8" s="72">
        <v>9</v>
      </c>
      <c r="C8" s="54" t="s">
        <v>18</v>
      </c>
      <c r="D8" s="83" t="s">
        <v>147</v>
      </c>
      <c r="E8" s="84">
        <f t="shared" si="0"/>
        <v>224492</v>
      </c>
      <c r="F8" s="85">
        <f>182875+30392.4</f>
        <v>213267.4</v>
      </c>
      <c r="G8" s="85">
        <f>9625+1599.6</f>
        <v>11224.6</v>
      </c>
      <c r="H8" s="85">
        <v>0</v>
      </c>
      <c r="I8" s="8" t="s">
        <v>51</v>
      </c>
      <c r="J8" s="87" t="s">
        <v>50</v>
      </c>
      <c r="K8" s="88">
        <v>5</v>
      </c>
      <c r="O8" s="69"/>
      <c r="P8" s="69"/>
    </row>
    <row r="9" spans="1:16" ht="31.5" x14ac:dyDescent="0.25">
      <c r="A9" s="82">
        <v>7</v>
      </c>
      <c r="B9" s="72">
        <v>11</v>
      </c>
      <c r="C9" s="86" t="s">
        <v>16</v>
      </c>
      <c r="D9" s="83" t="s">
        <v>144</v>
      </c>
      <c r="E9" s="84">
        <f t="shared" si="0"/>
        <v>123471.76</v>
      </c>
      <c r="F9" s="85">
        <v>117298.17</v>
      </c>
      <c r="G9" s="85">
        <v>6173.59</v>
      </c>
      <c r="H9" s="85">
        <v>0</v>
      </c>
      <c r="I9" s="8" t="s">
        <v>51</v>
      </c>
      <c r="J9" s="87" t="s">
        <v>150</v>
      </c>
      <c r="K9" s="88">
        <v>2</v>
      </c>
      <c r="O9" s="69"/>
      <c r="P9" s="69"/>
    </row>
    <row r="10" spans="1:16" ht="31.5" x14ac:dyDescent="0.25">
      <c r="A10" s="82">
        <v>8</v>
      </c>
      <c r="B10" s="72">
        <v>12</v>
      </c>
      <c r="C10" s="54" t="s">
        <v>94</v>
      </c>
      <c r="D10" s="83" t="s">
        <v>148</v>
      </c>
      <c r="E10" s="84">
        <f t="shared" si="0"/>
        <v>126000</v>
      </c>
      <c r="F10" s="85">
        <v>119700</v>
      </c>
      <c r="G10" s="85">
        <v>6300</v>
      </c>
      <c r="H10" s="85">
        <v>0</v>
      </c>
      <c r="I10" s="8" t="s">
        <v>51</v>
      </c>
      <c r="J10" s="104" t="s">
        <v>143</v>
      </c>
      <c r="K10" s="105">
        <f>32+0</f>
        <v>32</v>
      </c>
      <c r="L10" s="101" t="s">
        <v>179</v>
      </c>
      <c r="O10" s="69"/>
      <c r="P10" s="69"/>
    </row>
    <row r="11" spans="1:16" ht="31.5" x14ac:dyDescent="0.25">
      <c r="A11" s="82">
        <v>9</v>
      </c>
      <c r="B11" s="72">
        <v>13</v>
      </c>
      <c r="C11" s="54" t="s">
        <v>95</v>
      </c>
      <c r="D11" s="83" t="s">
        <v>144</v>
      </c>
      <c r="E11" s="84">
        <f t="shared" si="0"/>
        <v>30589.17</v>
      </c>
      <c r="F11" s="85">
        <v>29059.71</v>
      </c>
      <c r="G11" s="85">
        <v>1529.46</v>
      </c>
      <c r="H11" s="85">
        <v>0</v>
      </c>
      <c r="I11" s="8" t="s">
        <v>51</v>
      </c>
      <c r="O11" s="69"/>
      <c r="P11" s="69"/>
    </row>
    <row r="12" spans="1:16" ht="31.5" x14ac:dyDescent="0.25">
      <c r="A12" s="82">
        <v>10</v>
      </c>
      <c r="B12" s="72">
        <v>14</v>
      </c>
      <c r="C12" s="54" t="s">
        <v>28</v>
      </c>
      <c r="D12" s="83" t="s">
        <v>144</v>
      </c>
      <c r="E12" s="84">
        <f t="shared" si="0"/>
        <v>155133.5</v>
      </c>
      <c r="F12" s="84">
        <v>147376.82</v>
      </c>
      <c r="G12" s="85">
        <v>7756.68</v>
      </c>
      <c r="H12" s="85">
        <v>0</v>
      </c>
      <c r="I12" s="8" t="s">
        <v>51</v>
      </c>
      <c r="O12" s="69"/>
      <c r="P12" s="69"/>
    </row>
    <row r="13" spans="1:16" ht="15.75" x14ac:dyDescent="0.25">
      <c r="A13" s="82">
        <v>11</v>
      </c>
      <c r="B13" s="72">
        <v>15</v>
      </c>
      <c r="C13" s="54" t="s">
        <v>85</v>
      </c>
      <c r="D13" s="83" t="s">
        <v>149</v>
      </c>
      <c r="E13" s="84">
        <f t="shared" si="0"/>
        <v>299615.23</v>
      </c>
      <c r="F13" s="85">
        <f>188100+96534.47</f>
        <v>284634.46999999997</v>
      </c>
      <c r="G13" s="85">
        <f>9900+5080.76</f>
        <v>14980.76</v>
      </c>
      <c r="H13" s="85">
        <v>0</v>
      </c>
      <c r="I13" s="8" t="s">
        <v>51</v>
      </c>
      <c r="O13" s="69"/>
      <c r="P13" s="69"/>
    </row>
    <row r="14" spans="1:16" ht="15.75" x14ac:dyDescent="0.25">
      <c r="A14" s="82">
        <v>12</v>
      </c>
      <c r="B14" s="72">
        <v>16</v>
      </c>
      <c r="C14" s="54" t="s">
        <v>96</v>
      </c>
      <c r="D14" s="83" t="s">
        <v>151</v>
      </c>
      <c r="E14" s="84">
        <f t="shared" si="0"/>
        <v>741511</v>
      </c>
      <c r="F14" s="85">
        <f>229435.45+475000</f>
        <v>704435.45</v>
      </c>
      <c r="G14" s="85">
        <f>12075.55+25000</f>
        <v>37075.550000000003</v>
      </c>
      <c r="H14" s="85">
        <v>0</v>
      </c>
      <c r="I14" s="8" t="s">
        <v>51</v>
      </c>
      <c r="J14" s="69"/>
      <c r="K14" s="69"/>
      <c r="O14" s="69"/>
      <c r="P14" s="69"/>
    </row>
    <row r="15" spans="1:16" ht="36" customHeight="1" x14ac:dyDescent="0.25">
      <c r="A15" s="82">
        <v>13</v>
      </c>
      <c r="B15" s="72">
        <v>18</v>
      </c>
      <c r="C15" s="54" t="s">
        <v>88</v>
      </c>
      <c r="D15" s="89" t="s">
        <v>148</v>
      </c>
      <c r="E15" s="84">
        <f t="shared" si="0"/>
        <v>134400</v>
      </c>
      <c r="F15" s="85">
        <v>127680</v>
      </c>
      <c r="G15" s="85">
        <v>6720</v>
      </c>
      <c r="H15" s="85">
        <v>0</v>
      </c>
      <c r="I15" s="8" t="s">
        <v>51</v>
      </c>
      <c r="O15" s="69"/>
      <c r="P15" s="69"/>
    </row>
    <row r="16" spans="1:16" ht="15.75" x14ac:dyDescent="0.25">
      <c r="A16" s="82">
        <v>14</v>
      </c>
      <c r="B16" s="72">
        <v>19</v>
      </c>
      <c r="C16" s="54" t="s">
        <v>97</v>
      </c>
      <c r="D16" s="83" t="s">
        <v>152</v>
      </c>
      <c r="E16" s="84">
        <f t="shared" si="0"/>
        <v>220000</v>
      </c>
      <c r="F16" s="85">
        <v>209000</v>
      </c>
      <c r="G16" s="85">
        <v>11000</v>
      </c>
      <c r="H16" s="85">
        <v>0</v>
      </c>
      <c r="I16" s="8" t="s">
        <v>51</v>
      </c>
      <c r="J16" s="69"/>
      <c r="K16" s="69"/>
      <c r="O16" s="69"/>
      <c r="P16" s="69"/>
    </row>
    <row r="17" spans="1:16" ht="31.5" x14ac:dyDescent="0.25">
      <c r="A17" s="82">
        <v>15</v>
      </c>
      <c r="B17" s="72">
        <v>20</v>
      </c>
      <c r="C17" s="54" t="s">
        <v>21</v>
      </c>
      <c r="D17" s="83" t="s">
        <v>153</v>
      </c>
      <c r="E17" s="84">
        <f t="shared" si="0"/>
        <v>198100</v>
      </c>
      <c r="F17" s="85">
        <f>142500+45695</f>
        <v>188195</v>
      </c>
      <c r="G17" s="85">
        <f>7500+2405</f>
        <v>9905</v>
      </c>
      <c r="H17" s="85">
        <v>0</v>
      </c>
      <c r="I17" s="8" t="s">
        <v>51</v>
      </c>
      <c r="J17" s="69"/>
      <c r="K17" s="69"/>
      <c r="O17" s="69"/>
      <c r="P17" s="69"/>
    </row>
    <row r="18" spans="1:16" ht="31.5" x14ac:dyDescent="0.25">
      <c r="A18" s="82">
        <v>16</v>
      </c>
      <c r="B18" s="72">
        <v>21</v>
      </c>
      <c r="C18" s="54" t="s">
        <v>41</v>
      </c>
      <c r="D18" s="83" t="s">
        <v>149</v>
      </c>
      <c r="E18" s="84">
        <f t="shared" si="0"/>
        <v>117128</v>
      </c>
      <c r="F18" s="85">
        <v>111271.6</v>
      </c>
      <c r="G18" s="85">
        <v>5856.4</v>
      </c>
      <c r="H18" s="85">
        <v>0</v>
      </c>
      <c r="I18" s="8" t="s">
        <v>51</v>
      </c>
      <c r="J18" s="69"/>
      <c r="K18" s="69"/>
      <c r="O18" s="69"/>
      <c r="P18" s="69"/>
    </row>
    <row r="19" spans="1:16" ht="31.5" x14ac:dyDescent="0.25">
      <c r="A19" s="82">
        <v>17</v>
      </c>
      <c r="B19" s="72">
        <v>22</v>
      </c>
      <c r="C19" s="54" t="s">
        <v>98</v>
      </c>
      <c r="D19" s="83" t="s">
        <v>154</v>
      </c>
      <c r="E19" s="84">
        <f t="shared" si="0"/>
        <v>836896.51</v>
      </c>
      <c r="F19" s="85">
        <f>71250+475000</f>
        <v>546250</v>
      </c>
      <c r="G19" s="85">
        <f>3750+25000</f>
        <v>28750</v>
      </c>
      <c r="H19" s="85">
        <v>261896.51</v>
      </c>
      <c r="I19" s="8" t="s">
        <v>51</v>
      </c>
      <c r="J19" s="69"/>
      <c r="K19" s="69"/>
      <c r="O19" s="69"/>
      <c r="P19" s="69"/>
    </row>
    <row r="20" spans="1:16" ht="31.5" x14ac:dyDescent="0.25">
      <c r="A20" s="82">
        <v>18</v>
      </c>
      <c r="B20" s="72">
        <v>25</v>
      </c>
      <c r="C20" s="54" t="s">
        <v>25</v>
      </c>
      <c r="D20" s="83" t="s">
        <v>144</v>
      </c>
      <c r="E20" s="84">
        <f t="shared" si="0"/>
        <v>793504</v>
      </c>
      <c r="F20" s="85">
        <f>285000+468828.8</f>
        <v>753828.8</v>
      </c>
      <c r="G20" s="85">
        <f>15000+24675.2</f>
        <v>39675.199999999997</v>
      </c>
      <c r="H20" s="85">
        <v>0</v>
      </c>
      <c r="I20" s="8" t="s">
        <v>51</v>
      </c>
      <c r="J20" s="69"/>
      <c r="K20" s="69"/>
      <c r="O20" s="69"/>
      <c r="P20" s="69"/>
    </row>
    <row r="21" spans="1:16" ht="15.75" x14ac:dyDescent="0.25">
      <c r="A21" s="82">
        <v>19</v>
      </c>
      <c r="B21" s="72">
        <v>27</v>
      </c>
      <c r="C21" s="54" t="s">
        <v>45</v>
      </c>
      <c r="D21" s="83" t="s">
        <v>148</v>
      </c>
      <c r="E21" s="84">
        <f t="shared" si="0"/>
        <v>92250</v>
      </c>
      <c r="F21" s="85">
        <v>87637.5</v>
      </c>
      <c r="G21" s="85">
        <v>4612.5</v>
      </c>
      <c r="H21" s="85">
        <v>0</v>
      </c>
      <c r="I21" s="8" t="s">
        <v>51</v>
      </c>
      <c r="J21" s="69"/>
      <c r="K21" s="69"/>
      <c r="O21" s="69"/>
      <c r="P21" s="69"/>
    </row>
    <row r="22" spans="1:16" ht="15.75" x14ac:dyDescent="0.25">
      <c r="A22" s="82">
        <v>20</v>
      </c>
      <c r="B22" s="72">
        <v>28</v>
      </c>
      <c r="C22" s="54" t="s">
        <v>99</v>
      </c>
      <c r="D22" s="83" t="s">
        <v>155</v>
      </c>
      <c r="E22" s="84">
        <f t="shared" si="0"/>
        <v>600000</v>
      </c>
      <c r="F22" s="85">
        <v>285000</v>
      </c>
      <c r="G22" s="85">
        <v>15000</v>
      </c>
      <c r="H22" s="85">
        <v>300000</v>
      </c>
      <c r="I22" s="8" t="s">
        <v>51</v>
      </c>
      <c r="J22" s="69"/>
      <c r="K22" s="69"/>
      <c r="O22" s="69"/>
      <c r="P22" s="69"/>
    </row>
    <row r="23" spans="1:16" ht="31.5" x14ac:dyDescent="0.25">
      <c r="A23" s="82">
        <v>21</v>
      </c>
      <c r="B23" s="72">
        <v>29</v>
      </c>
      <c r="C23" s="54" t="s">
        <v>100</v>
      </c>
      <c r="D23" s="83" t="s">
        <v>156</v>
      </c>
      <c r="E23" s="84">
        <f t="shared" si="0"/>
        <v>236796</v>
      </c>
      <c r="F23" s="85">
        <f>54625+170331.2</f>
        <v>224956.2</v>
      </c>
      <c r="G23" s="85">
        <f>2875+8964.8</f>
        <v>11839.8</v>
      </c>
      <c r="H23" s="85">
        <v>0</v>
      </c>
      <c r="I23" s="8" t="s">
        <v>51</v>
      </c>
      <c r="J23" s="69"/>
      <c r="K23" s="69"/>
      <c r="O23" s="69"/>
      <c r="P23" s="69"/>
    </row>
    <row r="24" spans="1:16" ht="15.75" x14ac:dyDescent="0.25">
      <c r="A24" s="82">
        <v>22</v>
      </c>
      <c r="B24" s="72">
        <v>32</v>
      </c>
      <c r="C24" s="54" t="s">
        <v>19</v>
      </c>
      <c r="D24" s="83" t="s">
        <v>155</v>
      </c>
      <c r="E24" s="84">
        <f t="shared" si="0"/>
        <v>1007646.4</v>
      </c>
      <c r="F24" s="85">
        <f>285000+387264.08</f>
        <v>672264.08000000007</v>
      </c>
      <c r="G24" s="85">
        <f>15000+20382.32</f>
        <v>35382.32</v>
      </c>
      <c r="H24" s="85">
        <v>300000</v>
      </c>
      <c r="I24" s="8" t="s">
        <v>51</v>
      </c>
      <c r="J24" s="69"/>
      <c r="K24" s="69"/>
      <c r="O24" s="69"/>
      <c r="P24" s="69"/>
    </row>
    <row r="25" spans="1:16" ht="31.5" x14ac:dyDescent="0.25">
      <c r="A25" s="82">
        <v>23</v>
      </c>
      <c r="B25" s="72">
        <v>33</v>
      </c>
      <c r="C25" s="54" t="s">
        <v>32</v>
      </c>
      <c r="D25" s="83" t="s">
        <v>157</v>
      </c>
      <c r="E25" s="84">
        <f t="shared" si="0"/>
        <v>148175</v>
      </c>
      <c r="F25" s="85">
        <v>140766.25</v>
      </c>
      <c r="G25" s="85">
        <v>7408.75</v>
      </c>
      <c r="H25" s="85">
        <v>0</v>
      </c>
      <c r="I25" s="8" t="s">
        <v>51</v>
      </c>
      <c r="J25" s="69"/>
      <c r="K25" s="69"/>
      <c r="O25" s="69"/>
      <c r="P25" s="69"/>
    </row>
    <row r="26" spans="1:16" ht="15.75" x14ac:dyDescent="0.25">
      <c r="A26" s="82">
        <v>24</v>
      </c>
      <c r="B26" s="72">
        <v>34</v>
      </c>
      <c r="C26" s="54" t="s">
        <v>101</v>
      </c>
      <c r="D26" s="83" t="s">
        <v>154</v>
      </c>
      <c r="E26" s="84">
        <f>F26+G26+H26</f>
        <v>366967.77</v>
      </c>
      <c r="F26" s="85">
        <f>212135+31638.8</f>
        <v>243773.8</v>
      </c>
      <c r="G26" s="85">
        <f>11165+1665.2</f>
        <v>12830.2</v>
      </c>
      <c r="H26" s="85">
        <v>110363.77</v>
      </c>
      <c r="I26" s="8" t="s">
        <v>51</v>
      </c>
      <c r="J26" s="69"/>
      <c r="K26" s="69"/>
      <c r="O26" s="69"/>
      <c r="P26" s="69"/>
    </row>
    <row r="27" spans="1:16" ht="15.75" x14ac:dyDescent="0.25">
      <c r="A27" s="82">
        <v>25</v>
      </c>
      <c r="B27" s="72">
        <v>35</v>
      </c>
      <c r="C27" s="54" t="s">
        <v>49</v>
      </c>
      <c r="D27" s="83" t="s">
        <v>155</v>
      </c>
      <c r="E27" s="84">
        <f t="shared" si="0"/>
        <v>600000</v>
      </c>
      <c r="F27" s="85">
        <v>285000</v>
      </c>
      <c r="G27" s="85">
        <v>15000</v>
      </c>
      <c r="H27" s="85">
        <v>300000</v>
      </c>
      <c r="I27" s="8" t="s">
        <v>51</v>
      </c>
      <c r="J27" s="69"/>
      <c r="K27" s="69"/>
      <c r="O27" s="69"/>
      <c r="P27" s="69"/>
    </row>
    <row r="28" spans="1:16" ht="15.75" x14ac:dyDescent="0.25">
      <c r="A28" s="82">
        <v>26</v>
      </c>
      <c r="B28" s="72">
        <v>36</v>
      </c>
      <c r="C28" s="54" t="s">
        <v>89</v>
      </c>
      <c r="D28" s="83" t="s">
        <v>144</v>
      </c>
      <c r="E28" s="84">
        <f t="shared" si="0"/>
        <v>128250</v>
      </c>
      <c r="F28" s="85">
        <v>121837.5</v>
      </c>
      <c r="G28" s="85">
        <v>6412.5</v>
      </c>
      <c r="H28" s="85">
        <v>0</v>
      </c>
      <c r="I28" s="8" t="s">
        <v>51</v>
      </c>
      <c r="J28" s="69"/>
      <c r="K28" s="69"/>
      <c r="O28" s="69"/>
      <c r="P28" s="69"/>
    </row>
    <row r="29" spans="1:16" ht="15.75" x14ac:dyDescent="0.25">
      <c r="A29" s="82">
        <v>27</v>
      </c>
      <c r="B29" s="72">
        <v>37</v>
      </c>
      <c r="C29" s="54" t="s">
        <v>102</v>
      </c>
      <c r="D29" s="83" t="s">
        <v>158</v>
      </c>
      <c r="E29" s="84">
        <f t="shared" si="0"/>
        <v>97259.12000000001</v>
      </c>
      <c r="F29" s="85">
        <v>92396.160000000003</v>
      </c>
      <c r="G29" s="85">
        <v>4862.96</v>
      </c>
      <c r="H29" s="85">
        <v>0</v>
      </c>
      <c r="I29" s="8" t="s">
        <v>51</v>
      </c>
      <c r="J29" s="69"/>
      <c r="K29" s="69"/>
      <c r="O29" s="69"/>
      <c r="P29" s="69"/>
    </row>
    <row r="30" spans="1:16" ht="15.75" x14ac:dyDescent="0.25">
      <c r="A30" s="82">
        <v>28</v>
      </c>
      <c r="B30" s="72">
        <v>38</v>
      </c>
      <c r="C30" s="54" t="s">
        <v>103</v>
      </c>
      <c r="D30" s="83" t="s">
        <v>144</v>
      </c>
      <c r="E30" s="84">
        <f t="shared" si="0"/>
        <v>191653</v>
      </c>
      <c r="F30" s="85">
        <v>182070.35</v>
      </c>
      <c r="G30" s="85">
        <v>9582.65</v>
      </c>
      <c r="H30" s="85">
        <v>0</v>
      </c>
      <c r="I30" s="8" t="s">
        <v>51</v>
      </c>
      <c r="J30" s="69"/>
      <c r="K30" s="69"/>
      <c r="O30" s="69"/>
      <c r="P30" s="69"/>
    </row>
    <row r="31" spans="1:16" ht="31.5" x14ac:dyDescent="0.25">
      <c r="A31" s="82">
        <v>29</v>
      </c>
      <c r="B31" s="75">
        <v>40</v>
      </c>
      <c r="C31" s="54" t="s">
        <v>34</v>
      </c>
      <c r="D31" s="83" t="s">
        <v>159</v>
      </c>
      <c r="E31" s="84">
        <f t="shared" si="0"/>
        <v>48000</v>
      </c>
      <c r="F31" s="85">
        <v>45600</v>
      </c>
      <c r="G31" s="85">
        <v>2400</v>
      </c>
      <c r="H31" s="85">
        <v>0</v>
      </c>
      <c r="I31" s="8" t="s">
        <v>51</v>
      </c>
      <c r="J31" s="69"/>
      <c r="K31" s="69"/>
      <c r="O31" s="69"/>
      <c r="P31" s="69"/>
    </row>
    <row r="32" spans="1:16" ht="15.75" x14ac:dyDescent="0.25">
      <c r="A32" s="82">
        <v>30</v>
      </c>
      <c r="B32" s="75">
        <v>42</v>
      </c>
      <c r="C32" s="54" t="s">
        <v>38</v>
      </c>
      <c r="D32" s="83" t="s">
        <v>144</v>
      </c>
      <c r="E32" s="84">
        <f t="shared" si="0"/>
        <v>246000</v>
      </c>
      <c r="F32" s="85">
        <v>233700</v>
      </c>
      <c r="G32" s="85">
        <v>12300</v>
      </c>
      <c r="H32" s="85">
        <v>0</v>
      </c>
      <c r="I32" s="8" t="s">
        <v>51</v>
      </c>
      <c r="J32" s="69"/>
      <c r="K32" s="69"/>
      <c r="O32" s="69"/>
      <c r="P32" s="69"/>
    </row>
    <row r="33" spans="1:16" ht="15.75" customHeight="1" x14ac:dyDescent="0.25">
      <c r="A33" s="82">
        <v>31</v>
      </c>
      <c r="B33" s="75">
        <v>43</v>
      </c>
      <c r="C33" s="54" t="s">
        <v>104</v>
      </c>
      <c r="D33" s="83" t="s">
        <v>155</v>
      </c>
      <c r="E33" s="84">
        <f t="shared" si="0"/>
        <v>733529.52</v>
      </c>
      <c r="F33" s="85">
        <f>237500+174353.04</f>
        <v>411853.04000000004</v>
      </c>
      <c r="G33" s="85">
        <f>12500+9176.48</f>
        <v>21676.48</v>
      </c>
      <c r="H33" s="85">
        <v>300000</v>
      </c>
      <c r="I33" s="8" t="s">
        <v>51</v>
      </c>
      <c r="J33" s="69"/>
      <c r="K33" s="69"/>
      <c r="O33" s="69"/>
      <c r="P33" s="69"/>
    </row>
    <row r="34" spans="1:16" ht="15.75" x14ac:dyDescent="0.25">
      <c r="A34" s="82">
        <v>32</v>
      </c>
      <c r="B34" s="75">
        <v>45</v>
      </c>
      <c r="C34" s="54" t="s">
        <v>105</v>
      </c>
      <c r="D34" s="83" t="s">
        <v>160</v>
      </c>
      <c r="E34" s="84">
        <f t="shared" si="0"/>
        <v>300000</v>
      </c>
      <c r="F34" s="85">
        <v>0</v>
      </c>
      <c r="G34" s="85">
        <v>0</v>
      </c>
      <c r="H34" s="85">
        <v>300000</v>
      </c>
      <c r="I34" s="8" t="s">
        <v>51</v>
      </c>
      <c r="J34" s="69"/>
      <c r="K34" s="69"/>
      <c r="O34" s="69"/>
      <c r="P34" s="69"/>
    </row>
    <row r="35" spans="1:16" ht="31.5" x14ac:dyDescent="0.25">
      <c r="A35" s="82">
        <v>33</v>
      </c>
      <c r="B35" s="75">
        <v>47</v>
      </c>
      <c r="C35" s="54" t="s">
        <v>106</v>
      </c>
      <c r="D35" s="83" t="s">
        <v>144</v>
      </c>
      <c r="E35" s="84">
        <f t="shared" si="0"/>
        <v>300000</v>
      </c>
      <c r="F35" s="85">
        <v>285000</v>
      </c>
      <c r="G35" s="85">
        <v>15000</v>
      </c>
      <c r="H35" s="85">
        <v>0</v>
      </c>
      <c r="I35" s="8" t="s">
        <v>51</v>
      </c>
      <c r="J35" s="69"/>
      <c r="K35" s="69"/>
      <c r="O35" s="69"/>
      <c r="P35" s="69"/>
    </row>
    <row r="36" spans="1:16" ht="31.5" x14ac:dyDescent="0.25">
      <c r="A36" s="82">
        <v>34</v>
      </c>
      <c r="B36" s="75">
        <v>48</v>
      </c>
      <c r="C36" s="54" t="s">
        <v>107</v>
      </c>
      <c r="D36" s="83" t="s">
        <v>144</v>
      </c>
      <c r="E36" s="84">
        <f t="shared" si="0"/>
        <v>133458</v>
      </c>
      <c r="F36" s="85">
        <v>126785.1</v>
      </c>
      <c r="G36" s="85">
        <v>6672.9</v>
      </c>
      <c r="H36" s="85">
        <v>0</v>
      </c>
      <c r="I36" s="8" t="s">
        <v>51</v>
      </c>
      <c r="J36" s="69"/>
      <c r="K36" s="69"/>
      <c r="O36" s="69"/>
      <c r="P36" s="69"/>
    </row>
    <row r="37" spans="1:16" ht="31.5" x14ac:dyDescent="0.25">
      <c r="A37" s="82">
        <v>35</v>
      </c>
      <c r="B37" s="75">
        <v>50</v>
      </c>
      <c r="C37" s="54" t="s">
        <v>108</v>
      </c>
      <c r="D37" s="83" t="s">
        <v>161</v>
      </c>
      <c r="E37" s="84">
        <f t="shared" si="0"/>
        <v>210370</v>
      </c>
      <c r="F37" s="85">
        <v>199851.5</v>
      </c>
      <c r="G37" s="85">
        <v>10518.5</v>
      </c>
      <c r="H37" s="85">
        <v>0</v>
      </c>
      <c r="I37" s="8" t="s">
        <v>51</v>
      </c>
      <c r="J37" s="69"/>
      <c r="K37" s="69"/>
      <c r="O37" s="69"/>
      <c r="P37" s="69"/>
    </row>
    <row r="38" spans="1:16" ht="15.75" x14ac:dyDescent="0.25">
      <c r="A38" s="82">
        <v>36</v>
      </c>
      <c r="B38" s="75">
        <v>54</v>
      </c>
      <c r="C38" s="54" t="s">
        <v>20</v>
      </c>
      <c r="D38" s="83" t="s">
        <v>144</v>
      </c>
      <c r="E38" s="84">
        <f t="shared" si="0"/>
        <v>213010</v>
      </c>
      <c r="F38" s="85">
        <v>202359.5</v>
      </c>
      <c r="G38" s="85">
        <v>10650.5</v>
      </c>
      <c r="H38" s="85">
        <v>0</v>
      </c>
      <c r="I38" s="8" t="s">
        <v>51</v>
      </c>
      <c r="J38" s="69"/>
      <c r="K38" s="69"/>
      <c r="O38" s="69"/>
      <c r="P38" s="69"/>
    </row>
    <row r="39" spans="1:16" ht="15.75" x14ac:dyDescent="0.25">
      <c r="A39" s="82">
        <v>37</v>
      </c>
      <c r="B39" s="71">
        <v>55</v>
      </c>
      <c r="C39" s="54" t="s">
        <v>23</v>
      </c>
      <c r="D39" s="83" t="s">
        <v>162</v>
      </c>
      <c r="E39" s="84">
        <f t="shared" si="0"/>
        <v>600000</v>
      </c>
      <c r="F39" s="85">
        <v>285000</v>
      </c>
      <c r="G39" s="85">
        <v>15000</v>
      </c>
      <c r="H39" s="85">
        <v>300000</v>
      </c>
      <c r="I39" s="8" t="s">
        <v>51</v>
      </c>
      <c r="J39" s="69"/>
      <c r="K39" s="69"/>
      <c r="O39" s="69"/>
      <c r="P39" s="69"/>
    </row>
    <row r="40" spans="1:16" ht="31.5" x14ac:dyDescent="0.25">
      <c r="A40" s="82">
        <v>38</v>
      </c>
      <c r="B40" s="75">
        <v>62</v>
      </c>
      <c r="C40" s="54" t="s">
        <v>31</v>
      </c>
      <c r="D40" s="83" t="s">
        <v>163</v>
      </c>
      <c r="E40" s="84">
        <f t="shared" si="0"/>
        <v>232200</v>
      </c>
      <c r="F40" s="85">
        <v>220590</v>
      </c>
      <c r="G40" s="85">
        <v>11610</v>
      </c>
      <c r="H40" s="85">
        <v>0</v>
      </c>
      <c r="I40" s="8" t="s">
        <v>51</v>
      </c>
      <c r="J40" s="69"/>
      <c r="K40" s="69"/>
      <c r="O40" s="69"/>
      <c r="P40" s="69"/>
    </row>
    <row r="41" spans="1:16" ht="15.75" x14ac:dyDescent="0.25">
      <c r="A41" s="82">
        <v>39</v>
      </c>
      <c r="B41" s="75">
        <v>64</v>
      </c>
      <c r="C41" s="113" t="s">
        <v>33</v>
      </c>
      <c r="D41" s="112" t="s">
        <v>155</v>
      </c>
      <c r="E41" s="84">
        <f>F41+G41+H41</f>
        <v>597552.22</v>
      </c>
      <c r="F41" s="85">
        <v>285000</v>
      </c>
      <c r="G41" s="85">
        <v>15000</v>
      </c>
      <c r="H41" s="114">
        <v>297552.21999999997</v>
      </c>
      <c r="I41" s="8" t="s">
        <v>51</v>
      </c>
      <c r="J41" s="101" t="s">
        <v>180</v>
      </c>
      <c r="K41" s="106">
        <f>M41-H41</f>
        <v>2447.7800000000279</v>
      </c>
      <c r="L41" s="2" t="s">
        <v>143</v>
      </c>
      <c r="M41" s="70">
        <v>300000</v>
      </c>
      <c r="N41" s="8" t="s">
        <v>11</v>
      </c>
      <c r="O41" s="69"/>
      <c r="P41" s="69"/>
    </row>
    <row r="42" spans="1:16" ht="15.75" x14ac:dyDescent="0.25">
      <c r="A42" s="82">
        <v>40</v>
      </c>
      <c r="B42" s="75">
        <v>69</v>
      </c>
      <c r="C42" s="54" t="s">
        <v>109</v>
      </c>
      <c r="D42" s="83" t="s">
        <v>159</v>
      </c>
      <c r="E42" s="84">
        <f t="shared" si="0"/>
        <v>300000</v>
      </c>
      <c r="F42" s="85">
        <v>285000</v>
      </c>
      <c r="G42" s="85">
        <v>15000</v>
      </c>
      <c r="H42" s="85">
        <v>0</v>
      </c>
      <c r="I42" s="8" t="s">
        <v>51</v>
      </c>
      <c r="J42" s="69"/>
      <c r="K42" s="69"/>
      <c r="O42" s="69"/>
      <c r="P42" s="69"/>
    </row>
    <row r="43" spans="1:16" ht="31.5" x14ac:dyDescent="0.25">
      <c r="A43" s="82">
        <v>41</v>
      </c>
      <c r="B43" s="75">
        <v>70</v>
      </c>
      <c r="C43" s="55" t="s">
        <v>30</v>
      </c>
      <c r="D43" s="83" t="s">
        <v>164</v>
      </c>
      <c r="E43" s="84">
        <f t="shared" si="0"/>
        <v>288000</v>
      </c>
      <c r="F43" s="85">
        <v>273600</v>
      </c>
      <c r="G43" s="85">
        <v>14400</v>
      </c>
      <c r="H43" s="85">
        <v>0</v>
      </c>
      <c r="I43" s="8" t="s">
        <v>51</v>
      </c>
      <c r="J43" s="69"/>
      <c r="K43" s="69"/>
      <c r="O43" s="69"/>
      <c r="P43" s="69"/>
    </row>
    <row r="44" spans="1:16" ht="15.75" x14ac:dyDescent="0.25">
      <c r="A44" s="82">
        <v>42</v>
      </c>
      <c r="B44" s="76">
        <v>72</v>
      </c>
      <c r="C44" s="90" t="s">
        <v>110</v>
      </c>
      <c r="D44" s="83" t="s">
        <v>165</v>
      </c>
      <c r="E44" s="84">
        <f t="shared" si="0"/>
        <v>300000</v>
      </c>
      <c r="F44" s="85">
        <v>285000</v>
      </c>
      <c r="G44" s="85">
        <v>15000</v>
      </c>
      <c r="H44" s="85">
        <v>0</v>
      </c>
      <c r="I44" s="8" t="s">
        <v>51</v>
      </c>
      <c r="J44" s="69"/>
      <c r="K44" s="69"/>
      <c r="O44" s="69"/>
      <c r="P44" s="69"/>
    </row>
    <row r="45" spans="1:16" ht="31.5" x14ac:dyDescent="0.25">
      <c r="A45" s="82">
        <v>43</v>
      </c>
      <c r="B45" s="71">
        <v>73</v>
      </c>
      <c r="C45" s="54" t="s">
        <v>111</v>
      </c>
      <c r="D45" s="83" t="s">
        <v>161</v>
      </c>
      <c r="E45" s="84">
        <f t="shared" si="0"/>
        <v>300000</v>
      </c>
      <c r="F45" s="85">
        <v>285000</v>
      </c>
      <c r="G45" s="85">
        <v>15000</v>
      </c>
      <c r="H45" s="85">
        <v>0</v>
      </c>
      <c r="I45" s="8" t="s">
        <v>51</v>
      </c>
      <c r="J45" s="69"/>
      <c r="K45" s="69"/>
      <c r="O45" s="69"/>
      <c r="P45" s="69"/>
    </row>
    <row r="46" spans="1:16" ht="15.75" x14ac:dyDescent="0.25">
      <c r="A46" s="82">
        <v>44</v>
      </c>
      <c r="B46" s="71">
        <v>74</v>
      </c>
      <c r="C46" s="54" t="s">
        <v>22</v>
      </c>
      <c r="D46" s="83" t="s">
        <v>166</v>
      </c>
      <c r="E46" s="84">
        <f t="shared" si="0"/>
        <v>160900</v>
      </c>
      <c r="F46" s="85">
        <v>152855</v>
      </c>
      <c r="G46" s="85">
        <v>8045</v>
      </c>
      <c r="H46" s="85">
        <v>0</v>
      </c>
      <c r="I46" s="8" t="s">
        <v>51</v>
      </c>
      <c r="J46" s="69"/>
      <c r="K46" s="69"/>
      <c r="O46" s="69"/>
      <c r="P46" s="69"/>
    </row>
    <row r="47" spans="1:16" ht="31.5" x14ac:dyDescent="0.25">
      <c r="A47" s="82">
        <v>45</v>
      </c>
      <c r="B47" s="71">
        <v>76</v>
      </c>
      <c r="C47" s="91" t="s">
        <v>44</v>
      </c>
      <c r="D47" s="83" t="s">
        <v>167</v>
      </c>
      <c r="E47" s="84">
        <f t="shared" si="0"/>
        <v>228750</v>
      </c>
      <c r="F47" s="85">
        <v>217312.5</v>
      </c>
      <c r="G47" s="85">
        <v>11437.5</v>
      </c>
      <c r="H47" s="85">
        <v>0</v>
      </c>
      <c r="I47" s="8" t="s">
        <v>51</v>
      </c>
      <c r="J47" s="69"/>
      <c r="K47" s="69"/>
      <c r="O47" s="69"/>
      <c r="P47" s="69"/>
    </row>
    <row r="48" spans="1:16" ht="31.5" x14ac:dyDescent="0.25">
      <c r="A48" s="82">
        <v>46</v>
      </c>
      <c r="B48" s="71">
        <v>77</v>
      </c>
      <c r="C48" s="92" t="s">
        <v>27</v>
      </c>
      <c r="D48" s="83" t="s">
        <v>155</v>
      </c>
      <c r="E48" s="84">
        <f>F48+G48+H48</f>
        <v>91250</v>
      </c>
      <c r="F48" s="85">
        <v>86687.5</v>
      </c>
      <c r="G48" s="85">
        <v>4562.5</v>
      </c>
      <c r="H48" s="85">
        <v>0</v>
      </c>
      <c r="I48" s="8" t="s">
        <v>51</v>
      </c>
      <c r="J48" s="69"/>
      <c r="K48" s="69"/>
      <c r="O48" s="69"/>
      <c r="P48" s="69"/>
    </row>
    <row r="49" spans="1:16" ht="15.75" x14ac:dyDescent="0.25">
      <c r="A49" s="82">
        <v>47</v>
      </c>
      <c r="B49" s="71">
        <v>78</v>
      </c>
      <c r="C49" s="54" t="s">
        <v>112</v>
      </c>
      <c r="D49" s="83" t="s">
        <v>168</v>
      </c>
      <c r="E49" s="84">
        <f t="shared" si="0"/>
        <v>300000</v>
      </c>
      <c r="F49" s="85">
        <v>285000</v>
      </c>
      <c r="G49" s="85">
        <v>15000</v>
      </c>
      <c r="H49" s="85">
        <v>0</v>
      </c>
      <c r="I49" s="8" t="s">
        <v>51</v>
      </c>
      <c r="J49" s="69"/>
      <c r="K49" s="69"/>
      <c r="O49" s="69"/>
      <c r="P49" s="69"/>
    </row>
    <row r="50" spans="1:16" ht="15.75" x14ac:dyDescent="0.25">
      <c r="A50" s="82">
        <v>48</v>
      </c>
      <c r="B50" s="71">
        <v>80</v>
      </c>
      <c r="C50" s="90" t="s">
        <v>113</v>
      </c>
      <c r="D50" s="83" t="s">
        <v>148</v>
      </c>
      <c r="E50" s="84">
        <f t="shared" si="0"/>
        <v>275479</v>
      </c>
      <c r="F50" s="85">
        <v>261705.05</v>
      </c>
      <c r="G50" s="85">
        <v>13773.95</v>
      </c>
      <c r="H50" s="85">
        <v>0</v>
      </c>
      <c r="I50" s="8" t="s">
        <v>51</v>
      </c>
      <c r="J50" s="69"/>
      <c r="K50" s="69"/>
      <c r="O50" s="69"/>
      <c r="P50" s="69"/>
    </row>
    <row r="51" spans="1:16" ht="31.5" x14ac:dyDescent="0.25">
      <c r="A51" s="82">
        <v>49</v>
      </c>
      <c r="B51" s="71">
        <v>82</v>
      </c>
      <c r="C51" s="54" t="s">
        <v>114</v>
      </c>
      <c r="D51" s="83" t="s">
        <v>155</v>
      </c>
      <c r="E51" s="84">
        <f t="shared" si="0"/>
        <v>258360</v>
      </c>
      <c r="F51" s="85">
        <f>209000+36442</f>
        <v>245442</v>
      </c>
      <c r="G51" s="85">
        <f>11000+1918</f>
        <v>12918</v>
      </c>
      <c r="H51" s="85">
        <v>0</v>
      </c>
      <c r="I51" s="8" t="s">
        <v>51</v>
      </c>
      <c r="J51" s="69"/>
      <c r="K51" s="69"/>
      <c r="O51" s="69"/>
      <c r="P51" s="69"/>
    </row>
    <row r="52" spans="1:16" ht="15.75" x14ac:dyDescent="0.25">
      <c r="A52" s="82">
        <v>50</v>
      </c>
      <c r="B52" s="71">
        <v>84</v>
      </c>
      <c r="C52" s="54" t="s">
        <v>115</v>
      </c>
      <c r="D52" s="83" t="s">
        <v>169</v>
      </c>
      <c r="E52" s="84">
        <f t="shared" si="0"/>
        <v>158400</v>
      </c>
      <c r="F52" s="85">
        <v>150480</v>
      </c>
      <c r="G52" s="85">
        <v>7920</v>
      </c>
      <c r="H52" s="85">
        <v>0</v>
      </c>
      <c r="I52" s="8" t="s">
        <v>51</v>
      </c>
      <c r="J52" s="69"/>
      <c r="K52" s="69"/>
      <c r="O52" s="69"/>
      <c r="P52" s="69"/>
    </row>
    <row r="53" spans="1:16" ht="15.75" x14ac:dyDescent="0.25">
      <c r="A53" s="82">
        <v>51</v>
      </c>
      <c r="B53" s="71">
        <v>85</v>
      </c>
      <c r="C53" s="90" t="s">
        <v>116</v>
      </c>
      <c r="D53" s="83" t="s">
        <v>170</v>
      </c>
      <c r="E53" s="84">
        <f t="shared" si="0"/>
        <v>60000</v>
      </c>
      <c r="F53" s="85">
        <v>57000</v>
      </c>
      <c r="G53" s="85">
        <v>3000</v>
      </c>
      <c r="H53" s="85">
        <v>0</v>
      </c>
      <c r="I53" s="8" t="s">
        <v>51</v>
      </c>
      <c r="J53" s="69"/>
      <c r="K53" s="69"/>
      <c r="O53" s="69"/>
      <c r="P53" s="69"/>
    </row>
    <row r="54" spans="1:16" ht="15.75" x14ac:dyDescent="0.25">
      <c r="A54" s="82">
        <v>52</v>
      </c>
      <c r="B54" s="71">
        <v>86</v>
      </c>
      <c r="C54" s="54" t="s">
        <v>117</v>
      </c>
      <c r="D54" s="83" t="s">
        <v>171</v>
      </c>
      <c r="E54" s="84">
        <f t="shared" si="0"/>
        <v>300000</v>
      </c>
      <c r="F54" s="85">
        <v>285000</v>
      </c>
      <c r="G54" s="85">
        <v>15000</v>
      </c>
      <c r="H54" s="85">
        <v>0</v>
      </c>
      <c r="I54" s="8" t="s">
        <v>51</v>
      </c>
      <c r="J54" s="69"/>
      <c r="K54" s="69"/>
      <c r="O54" s="69"/>
      <c r="P54" s="69"/>
    </row>
    <row r="55" spans="1:16" ht="31.5" x14ac:dyDescent="0.25">
      <c r="A55" s="82">
        <v>53</v>
      </c>
      <c r="B55" s="71">
        <v>91</v>
      </c>
      <c r="C55" s="54" t="s">
        <v>118</v>
      </c>
      <c r="D55" s="83" t="s">
        <v>144</v>
      </c>
      <c r="E55" s="84">
        <f t="shared" si="0"/>
        <v>300000</v>
      </c>
      <c r="F55" s="85">
        <v>285000</v>
      </c>
      <c r="G55" s="85">
        <v>15000</v>
      </c>
      <c r="H55" s="85">
        <v>0</v>
      </c>
      <c r="I55" s="8" t="s">
        <v>51</v>
      </c>
      <c r="J55" s="69"/>
      <c r="K55" s="69"/>
      <c r="O55" s="69"/>
      <c r="P55" s="69"/>
    </row>
    <row r="56" spans="1:16" ht="15.75" x14ac:dyDescent="0.25">
      <c r="A56" s="82">
        <v>54</v>
      </c>
      <c r="B56" s="71">
        <v>94</v>
      </c>
      <c r="C56" s="54" t="s">
        <v>43</v>
      </c>
      <c r="D56" s="83" t="s">
        <v>172</v>
      </c>
      <c r="E56" s="84">
        <f t="shared" si="0"/>
        <v>300000</v>
      </c>
      <c r="F56" s="85">
        <v>285000</v>
      </c>
      <c r="G56" s="85">
        <v>15000</v>
      </c>
      <c r="H56" s="85">
        <v>0</v>
      </c>
      <c r="I56" s="8" t="s">
        <v>51</v>
      </c>
      <c r="J56" s="69"/>
      <c r="K56" s="69"/>
      <c r="O56" s="69"/>
      <c r="P56" s="69"/>
    </row>
    <row r="57" spans="1:16" ht="15.75" x14ac:dyDescent="0.25">
      <c r="A57" s="82">
        <v>55</v>
      </c>
      <c r="B57" s="71">
        <v>96</v>
      </c>
      <c r="C57" s="54" t="s">
        <v>119</v>
      </c>
      <c r="D57" s="83" t="s">
        <v>155</v>
      </c>
      <c r="E57" s="84">
        <f t="shared" si="0"/>
        <v>300000</v>
      </c>
      <c r="F57" s="85">
        <v>285000</v>
      </c>
      <c r="G57" s="85">
        <v>15000</v>
      </c>
      <c r="H57" s="85">
        <v>0</v>
      </c>
      <c r="I57" s="8" t="s">
        <v>51</v>
      </c>
      <c r="J57" s="69"/>
      <c r="K57" s="69"/>
      <c r="O57" s="69"/>
      <c r="P57" s="69"/>
    </row>
    <row r="58" spans="1:16" ht="15.75" x14ac:dyDescent="0.25">
      <c r="A58" s="82">
        <v>56</v>
      </c>
      <c r="B58" s="71">
        <v>1</v>
      </c>
      <c r="C58" s="86" t="s">
        <v>35</v>
      </c>
      <c r="D58" s="83" t="s">
        <v>144</v>
      </c>
      <c r="E58" s="84">
        <f t="shared" si="0"/>
        <v>186560</v>
      </c>
      <c r="F58" s="84">
        <v>177232</v>
      </c>
      <c r="G58" s="84">
        <v>9328</v>
      </c>
      <c r="H58" s="85">
        <v>0</v>
      </c>
      <c r="I58" s="8" t="s">
        <v>51</v>
      </c>
      <c r="J58" s="69"/>
      <c r="K58" s="69"/>
      <c r="O58" s="69"/>
      <c r="P58" s="69"/>
    </row>
    <row r="59" spans="1:16" ht="15.75" x14ac:dyDescent="0.25">
      <c r="A59" s="82">
        <v>57</v>
      </c>
      <c r="B59" s="71">
        <v>10</v>
      </c>
      <c r="C59" s="86" t="s">
        <v>91</v>
      </c>
      <c r="D59" s="83" t="s">
        <v>144</v>
      </c>
      <c r="E59" s="84">
        <f t="shared" si="0"/>
        <v>500000</v>
      </c>
      <c r="F59" s="84">
        <v>475000</v>
      </c>
      <c r="G59" s="84">
        <v>25000</v>
      </c>
      <c r="H59" s="85">
        <v>0</v>
      </c>
      <c r="I59" s="8" t="s">
        <v>51</v>
      </c>
      <c r="J59" s="69"/>
      <c r="K59" s="69"/>
      <c r="O59" s="69"/>
      <c r="P59" s="69"/>
    </row>
    <row r="60" spans="1:16" ht="15.75" x14ac:dyDescent="0.25">
      <c r="A60" s="82">
        <v>58</v>
      </c>
      <c r="B60" s="71">
        <v>58</v>
      </c>
      <c r="C60" s="86" t="s">
        <v>87</v>
      </c>
      <c r="D60" s="83" t="s">
        <v>144</v>
      </c>
      <c r="E60" s="84">
        <f t="shared" si="0"/>
        <v>493999.2</v>
      </c>
      <c r="F60" s="84">
        <v>469299.24</v>
      </c>
      <c r="G60" s="84">
        <v>24699.96</v>
      </c>
      <c r="H60" s="85">
        <v>0</v>
      </c>
      <c r="I60" s="8" t="s">
        <v>51</v>
      </c>
      <c r="J60" s="69"/>
      <c r="K60" s="69"/>
      <c r="O60" s="69"/>
      <c r="P60" s="69"/>
    </row>
    <row r="61" spans="1:16" ht="31.5" x14ac:dyDescent="0.25">
      <c r="A61" s="82">
        <v>59</v>
      </c>
      <c r="B61" s="71">
        <v>99</v>
      </c>
      <c r="C61" s="54" t="s">
        <v>29</v>
      </c>
      <c r="D61" s="83" t="s">
        <v>154</v>
      </c>
      <c r="E61" s="84">
        <f t="shared" si="0"/>
        <v>167574.39999999999</v>
      </c>
      <c r="F61" s="84">
        <v>159195.68</v>
      </c>
      <c r="G61" s="84">
        <v>8378.7199999999993</v>
      </c>
      <c r="H61" s="85">
        <v>0</v>
      </c>
      <c r="I61" s="8" t="s">
        <v>51</v>
      </c>
      <c r="J61" s="69"/>
      <c r="K61" s="69"/>
      <c r="O61" s="69"/>
      <c r="P61" s="69"/>
    </row>
    <row r="62" spans="1:16" ht="15.75" x14ac:dyDescent="0.25">
      <c r="A62" s="82">
        <v>60</v>
      </c>
      <c r="B62" s="71">
        <v>30</v>
      </c>
      <c r="C62" s="54" t="s">
        <v>134</v>
      </c>
      <c r="D62" s="83" t="s">
        <v>173</v>
      </c>
      <c r="E62" s="84">
        <f t="shared" si="0"/>
        <v>297187.5</v>
      </c>
      <c r="F62" s="84">
        <v>0</v>
      </c>
      <c r="G62" s="84">
        <v>0</v>
      </c>
      <c r="H62" s="85">
        <v>297187.5</v>
      </c>
      <c r="I62" s="8" t="s">
        <v>51</v>
      </c>
      <c r="J62" s="69"/>
      <c r="K62" s="69"/>
      <c r="L62" s="69"/>
      <c r="O62" s="69"/>
      <c r="P62" s="69"/>
    </row>
    <row r="63" spans="1:16" ht="30" x14ac:dyDescent="0.25">
      <c r="A63" s="82">
        <v>61</v>
      </c>
      <c r="B63" s="93">
        <v>60</v>
      </c>
      <c r="C63" s="57" t="s">
        <v>135</v>
      </c>
      <c r="D63" s="83" t="s">
        <v>174</v>
      </c>
      <c r="E63" s="84">
        <f t="shared" si="0"/>
        <v>97520</v>
      </c>
      <c r="F63" s="77">
        <v>92644</v>
      </c>
      <c r="G63" s="77">
        <v>4876</v>
      </c>
      <c r="H63" s="85">
        <v>0</v>
      </c>
      <c r="I63" s="8" t="s">
        <v>50</v>
      </c>
    </row>
    <row r="64" spans="1:16" ht="15.75" x14ac:dyDescent="0.25">
      <c r="A64" s="82">
        <v>62</v>
      </c>
      <c r="B64" s="94">
        <v>109</v>
      </c>
      <c r="C64" s="57" t="s">
        <v>136</v>
      </c>
      <c r="D64" s="83" t="s">
        <v>175</v>
      </c>
      <c r="E64" s="84">
        <f t="shared" si="0"/>
        <v>300000</v>
      </c>
      <c r="F64" s="77">
        <v>285000</v>
      </c>
      <c r="G64" s="77">
        <v>15000</v>
      </c>
      <c r="H64" s="85">
        <v>0</v>
      </c>
      <c r="I64" s="8" t="s">
        <v>50</v>
      </c>
    </row>
    <row r="65" spans="1:16" ht="15.75" x14ac:dyDescent="0.25">
      <c r="A65" s="82">
        <v>63</v>
      </c>
      <c r="B65" s="94">
        <v>134</v>
      </c>
      <c r="C65" s="57" t="s">
        <v>137</v>
      </c>
      <c r="D65" s="83" t="s">
        <v>175</v>
      </c>
      <c r="E65" s="84">
        <f t="shared" si="0"/>
        <v>87920</v>
      </c>
      <c r="F65" s="77">
        <v>83524</v>
      </c>
      <c r="G65" s="77">
        <v>4396</v>
      </c>
      <c r="H65" s="85">
        <v>0</v>
      </c>
      <c r="I65" s="8" t="s">
        <v>50</v>
      </c>
    </row>
    <row r="66" spans="1:16" ht="15.75" x14ac:dyDescent="0.25">
      <c r="A66" s="82">
        <v>64</v>
      </c>
      <c r="B66" s="94">
        <v>146</v>
      </c>
      <c r="C66" s="57" t="s">
        <v>138</v>
      </c>
      <c r="D66" s="83" t="s">
        <v>176</v>
      </c>
      <c r="E66" s="84">
        <f t="shared" si="0"/>
        <v>89984</v>
      </c>
      <c r="F66" s="77">
        <v>85484.800000000003</v>
      </c>
      <c r="G66" s="77">
        <v>4499.2</v>
      </c>
      <c r="H66" s="85">
        <v>0</v>
      </c>
      <c r="I66" s="8" t="s">
        <v>50</v>
      </c>
    </row>
    <row r="67" spans="1:16" ht="15.75" x14ac:dyDescent="0.25">
      <c r="A67" s="82">
        <v>65</v>
      </c>
      <c r="B67" s="94">
        <v>153</v>
      </c>
      <c r="C67" s="57" t="s">
        <v>139</v>
      </c>
      <c r="D67" s="83" t="s">
        <v>172</v>
      </c>
      <c r="E67" s="84">
        <f t="shared" si="0"/>
        <v>28800</v>
      </c>
      <c r="F67" s="77">
        <v>27360</v>
      </c>
      <c r="G67" s="77">
        <v>1440</v>
      </c>
      <c r="H67" s="85">
        <v>0</v>
      </c>
      <c r="I67" s="8" t="s">
        <v>50</v>
      </c>
    </row>
    <row r="68" spans="1:16" s="9" customFormat="1" ht="15.75" x14ac:dyDescent="0.25">
      <c r="A68" s="82">
        <v>66</v>
      </c>
      <c r="B68" s="71">
        <v>101</v>
      </c>
      <c r="C68" s="113" t="s">
        <v>120</v>
      </c>
      <c r="D68" s="83" t="s">
        <v>172</v>
      </c>
      <c r="E68" s="114">
        <f t="shared" si="0"/>
        <v>14407.09</v>
      </c>
      <c r="F68" s="77">
        <v>13686.74</v>
      </c>
      <c r="G68" s="77">
        <v>720.35</v>
      </c>
      <c r="H68" s="85">
        <v>0</v>
      </c>
      <c r="I68" s="8" t="s">
        <v>51</v>
      </c>
      <c r="J68" s="101" t="s">
        <v>180</v>
      </c>
      <c r="K68" s="106">
        <f>M68-E68</f>
        <v>285592.90999999997</v>
      </c>
      <c r="L68" s="2" t="s">
        <v>143</v>
      </c>
      <c r="M68" s="70">
        <v>300000</v>
      </c>
      <c r="N68" s="8" t="s">
        <v>11</v>
      </c>
      <c r="O68" s="8"/>
      <c r="P68" s="8"/>
    </row>
    <row r="69" spans="1:16" s="9" customFormat="1" ht="15.75" x14ac:dyDescent="0.25">
      <c r="A69" s="82">
        <v>67</v>
      </c>
      <c r="B69" s="71">
        <v>100</v>
      </c>
      <c r="C69" s="57" t="s">
        <v>39</v>
      </c>
      <c r="D69" s="83" t="s">
        <v>144</v>
      </c>
      <c r="E69" s="84">
        <f t="shared" ref="E69" si="1">F69+G69+H69</f>
        <v>271000</v>
      </c>
      <c r="F69" s="77">
        <v>257450</v>
      </c>
      <c r="G69" s="77">
        <v>13550</v>
      </c>
      <c r="H69" s="85">
        <v>0</v>
      </c>
      <c r="I69" s="8" t="s">
        <v>51</v>
      </c>
      <c r="J69" s="101"/>
      <c r="K69" s="8"/>
      <c r="L69" s="8"/>
      <c r="M69" s="8"/>
      <c r="N69" s="8"/>
      <c r="O69" s="8"/>
      <c r="P69" s="8"/>
    </row>
    <row r="70" spans="1:16" s="9" customFormat="1" x14ac:dyDescent="0.25">
      <c r="A70" s="95"/>
      <c r="B70" s="95"/>
      <c r="C70" s="95"/>
      <c r="D70" s="96"/>
      <c r="E70" s="95"/>
      <c r="F70" s="97"/>
      <c r="G70" s="97"/>
      <c r="H70" s="97"/>
      <c r="I70" s="8"/>
      <c r="J70" s="8"/>
      <c r="K70" s="8"/>
      <c r="L70" s="8"/>
      <c r="M70" s="8"/>
      <c r="N70" s="8"/>
      <c r="O70" s="8"/>
      <c r="P70" s="8"/>
    </row>
    <row r="71" spans="1:16" s="9" customFormat="1" x14ac:dyDescent="0.25">
      <c r="A71" s="95"/>
      <c r="B71" s="95"/>
      <c r="C71" s="95"/>
      <c r="D71" s="96"/>
      <c r="E71" s="95"/>
      <c r="F71" s="97"/>
      <c r="G71" s="97"/>
      <c r="H71" s="97"/>
      <c r="I71" s="8"/>
      <c r="J71" s="8"/>
      <c r="K71" s="8"/>
      <c r="L71" s="8"/>
      <c r="M71" s="8"/>
      <c r="N71" s="8"/>
      <c r="O71" s="8"/>
      <c r="P71" s="8"/>
    </row>
    <row r="72" spans="1:16" x14ac:dyDescent="0.25">
      <c r="E72" s="95"/>
    </row>
    <row r="73" spans="1:16" x14ac:dyDescent="0.25">
      <c r="E73" s="95"/>
    </row>
    <row r="74" spans="1:16" x14ac:dyDescent="0.25">
      <c r="E74" s="95"/>
    </row>
    <row r="75" spans="1:16" x14ac:dyDescent="0.25">
      <c r="E75" s="95"/>
    </row>
  </sheetData>
  <mergeCells count="1">
    <mergeCell ref="A2:D2"/>
  </mergeCells>
  <pageMargins left="0.7" right="0.7" top="0.75" bottom="0.75" header="0.3" footer="0.3"/>
  <pageSetup paperSize="9" scale="72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Q106"/>
  <sheetViews>
    <sheetView view="pageBreakPreview" zoomScale="80" zoomScaleNormal="100" zoomScaleSheetLayoutView="80" workbookViewId="0">
      <pane ySplit="4" topLeftCell="A5" activePane="bottomLeft" state="frozen"/>
      <selection pane="bottomLeft" activeCell="J77" sqref="J77"/>
    </sheetView>
  </sheetViews>
  <sheetFormatPr defaultColWidth="9.140625" defaultRowHeight="15" x14ac:dyDescent="0.25"/>
  <cols>
    <col min="1" max="2" width="5" style="8" customWidth="1"/>
    <col min="3" max="3" width="40.7109375" style="8" customWidth="1"/>
    <col min="4" max="4" width="26.28515625" style="8" customWidth="1"/>
    <col min="5" max="5" width="18.85546875" style="9" customWidth="1"/>
    <col min="6" max="6" width="16.7109375" style="9" customWidth="1"/>
    <col min="7" max="7" width="15.7109375" style="9" customWidth="1"/>
    <col min="8" max="8" width="14.7109375" style="9" customWidth="1"/>
    <col min="9" max="9" width="15.5703125" style="8" customWidth="1"/>
    <col min="10" max="10" width="24.42578125" style="8" customWidth="1"/>
    <col min="11" max="11" width="14.85546875" style="8" customWidth="1"/>
    <col min="12" max="12" width="13.42578125" style="8" customWidth="1"/>
    <col min="13" max="13" width="18" style="8" customWidth="1"/>
    <col min="14" max="14" width="14.85546875" style="8" customWidth="1"/>
    <col min="15" max="16384" width="9.140625" style="8"/>
  </cols>
  <sheetData>
    <row r="1" spans="1:17" ht="39.75" customHeight="1" x14ac:dyDescent="0.25">
      <c r="A1" s="6" t="s">
        <v>0</v>
      </c>
      <c r="B1" s="6" t="s">
        <v>14</v>
      </c>
      <c r="C1" s="6" t="s">
        <v>1</v>
      </c>
      <c r="D1" s="7" t="s">
        <v>52</v>
      </c>
      <c r="E1" s="4" t="s">
        <v>2</v>
      </c>
      <c r="F1" s="4" t="s">
        <v>3</v>
      </c>
      <c r="G1" s="4" t="s">
        <v>141</v>
      </c>
      <c r="H1" s="4" t="s">
        <v>4</v>
      </c>
      <c r="J1" s="171" t="s">
        <v>5</v>
      </c>
      <c r="K1" s="172"/>
    </row>
    <row r="2" spans="1:17" x14ac:dyDescent="0.25">
      <c r="A2" s="163" t="s">
        <v>6</v>
      </c>
      <c r="B2" s="163"/>
      <c r="C2" s="163"/>
      <c r="D2" s="163"/>
      <c r="E2" s="12">
        <f>F2+G2+H2</f>
        <v>18177300</v>
      </c>
      <c r="F2" s="12">
        <v>14639700</v>
      </c>
      <c r="G2" s="12">
        <v>770600</v>
      </c>
      <c r="H2" s="12">
        <v>2767000</v>
      </c>
      <c r="J2" s="1" t="s">
        <v>7</v>
      </c>
      <c r="K2" s="16">
        <f>156-7-3-2</f>
        <v>144</v>
      </c>
    </row>
    <row r="3" spans="1:17" x14ac:dyDescent="0.25">
      <c r="A3" s="173" t="s">
        <v>8</v>
      </c>
      <c r="B3" s="173"/>
      <c r="C3" s="173"/>
      <c r="D3" s="173"/>
      <c r="E3" s="13">
        <f t="shared" ref="E3:E4" si="0">F3+G3+H3</f>
        <v>18177210.540000003</v>
      </c>
      <c r="F3" s="11">
        <f>F6+F64+F82</f>
        <v>14639700.000000002</v>
      </c>
      <c r="G3" s="11">
        <f>G6+G64+G82</f>
        <v>770510.54000000015</v>
      </c>
      <c r="H3" s="11">
        <f>H6+H64+H82</f>
        <v>2767000</v>
      </c>
      <c r="J3" s="1" t="s">
        <v>46</v>
      </c>
      <c r="K3" s="16">
        <f>156-7-3-2-36</f>
        <v>108</v>
      </c>
    </row>
    <row r="4" spans="1:17" x14ac:dyDescent="0.25">
      <c r="A4" s="174" t="s">
        <v>9</v>
      </c>
      <c r="B4" s="174"/>
      <c r="C4" s="174"/>
      <c r="D4" s="174"/>
      <c r="E4" s="14">
        <f t="shared" si="0"/>
        <v>89.459999999846332</v>
      </c>
      <c r="F4" s="15">
        <f>F2-F3</f>
        <v>0</v>
      </c>
      <c r="G4" s="15">
        <f t="shared" ref="G4:H4" si="1">G2-G3</f>
        <v>89.459999999846332</v>
      </c>
      <c r="H4" s="15">
        <f t="shared" si="1"/>
        <v>0</v>
      </c>
      <c r="J4" s="1" t="s">
        <v>47</v>
      </c>
      <c r="K4" s="107">
        <v>94</v>
      </c>
    </row>
    <row r="5" spans="1:17" s="5" customFormat="1" ht="15" customHeight="1" x14ac:dyDescent="0.25">
      <c r="A5" s="175" t="s">
        <v>10</v>
      </c>
      <c r="B5" s="175"/>
      <c r="C5" s="175"/>
      <c r="D5" s="175"/>
      <c r="E5" s="175"/>
      <c r="F5" s="175"/>
      <c r="G5" s="175"/>
      <c r="H5" s="175"/>
      <c r="I5" s="8"/>
      <c r="J5" s="1" t="s">
        <v>48</v>
      </c>
      <c r="K5" s="16">
        <f>15-2+1</f>
        <v>14</v>
      </c>
      <c r="L5" s="8"/>
      <c r="M5" s="8"/>
      <c r="N5" s="8"/>
      <c r="O5" s="8"/>
      <c r="P5" s="8"/>
      <c r="Q5" s="8"/>
    </row>
    <row r="6" spans="1:17" x14ac:dyDescent="0.25">
      <c r="A6" s="164" t="s">
        <v>11</v>
      </c>
      <c r="B6" s="164"/>
      <c r="C6" s="164"/>
      <c r="D6" s="164"/>
      <c r="E6" s="63">
        <f>SUM(E7:E62)</f>
        <v>11484169.789999999</v>
      </c>
      <c r="F6" s="63">
        <f>SUM(F7:F62)</f>
        <v>10909961.290000001</v>
      </c>
      <c r="G6" s="63">
        <f t="shared" ref="G6:H6" si="2">SUM(G7:G62)</f>
        <v>574208.50000000012</v>
      </c>
      <c r="H6" s="63">
        <f t="shared" si="2"/>
        <v>0</v>
      </c>
      <c r="I6" s="69">
        <f>F6+G6+H6-E6</f>
        <v>0</v>
      </c>
      <c r="J6" s="78" t="s">
        <v>142</v>
      </c>
      <c r="K6" s="16">
        <v>61.5</v>
      </c>
    </row>
    <row r="7" spans="1:17" ht="15.75" x14ac:dyDescent="0.25">
      <c r="A7" s="10">
        <v>1</v>
      </c>
      <c r="B7" s="72">
        <v>2</v>
      </c>
      <c r="C7" s="3" t="s">
        <v>17</v>
      </c>
      <c r="D7" s="61" t="s">
        <v>144</v>
      </c>
      <c r="E7" s="66">
        <v>236540.15</v>
      </c>
      <c r="F7" s="68">
        <f>ROUND(E7*0.95,2)</f>
        <v>224713.14</v>
      </c>
      <c r="G7" s="68">
        <f>ROUND(E7*0.05,2)</f>
        <v>11827.01</v>
      </c>
      <c r="H7" s="68">
        <v>0</v>
      </c>
      <c r="I7" s="69">
        <f>F7+G7+H7-E7</f>
        <v>0</v>
      </c>
      <c r="J7" s="79" t="s">
        <v>143</v>
      </c>
      <c r="K7" s="16">
        <v>32.5</v>
      </c>
      <c r="Q7" s="69"/>
    </row>
    <row r="8" spans="1:17" ht="15.75" x14ac:dyDescent="0.25">
      <c r="A8" s="10">
        <v>2</v>
      </c>
      <c r="B8" s="72">
        <v>3</v>
      </c>
      <c r="C8" s="3" t="s">
        <v>92</v>
      </c>
      <c r="D8" s="61" t="s">
        <v>145</v>
      </c>
      <c r="E8" s="66">
        <v>247000</v>
      </c>
      <c r="F8" s="68">
        <f t="shared" ref="F8:F62" si="3">ROUND(E8*0.95,2)</f>
        <v>234650</v>
      </c>
      <c r="G8" s="68">
        <f t="shared" ref="G8:G62" si="4">ROUND(E8*0.05,2)</f>
        <v>12350</v>
      </c>
      <c r="H8" s="68">
        <v>0</v>
      </c>
      <c r="I8" s="69">
        <f t="shared" ref="I8:I62" si="5">F8+G8+H8-E8</f>
        <v>0</v>
      </c>
      <c r="K8" s="8">
        <f>K4+K5-K3</f>
        <v>0</v>
      </c>
      <c r="L8" s="8">
        <f>K4-K6-K7</f>
        <v>0</v>
      </c>
      <c r="P8" s="69"/>
      <c r="Q8" s="69"/>
    </row>
    <row r="9" spans="1:17" ht="15.75" x14ac:dyDescent="0.25">
      <c r="A9" s="10">
        <v>3</v>
      </c>
      <c r="B9" s="72">
        <v>5</v>
      </c>
      <c r="C9" s="3" t="s">
        <v>93</v>
      </c>
      <c r="D9" s="61" t="s">
        <v>144</v>
      </c>
      <c r="E9" s="66">
        <v>300000</v>
      </c>
      <c r="F9" s="68">
        <f t="shared" si="3"/>
        <v>285000</v>
      </c>
      <c r="G9" s="68">
        <f t="shared" si="4"/>
        <v>15000</v>
      </c>
      <c r="H9" s="68">
        <v>0</v>
      </c>
      <c r="I9" s="69">
        <f t="shared" si="5"/>
        <v>0</v>
      </c>
      <c r="K9" s="69"/>
      <c r="L9" s="69"/>
      <c r="P9" s="69"/>
      <c r="Q9" s="69"/>
    </row>
    <row r="10" spans="1:17" ht="15.75" x14ac:dyDescent="0.25">
      <c r="A10" s="10">
        <v>4</v>
      </c>
      <c r="B10" s="72">
        <v>7</v>
      </c>
      <c r="C10" s="3" t="s">
        <v>90</v>
      </c>
      <c r="D10" s="61" t="s">
        <v>144</v>
      </c>
      <c r="E10" s="66">
        <v>300000</v>
      </c>
      <c r="F10" s="68">
        <f t="shared" si="3"/>
        <v>285000</v>
      </c>
      <c r="G10" s="68">
        <f t="shared" si="4"/>
        <v>15000</v>
      </c>
      <c r="H10" s="68">
        <v>0</v>
      </c>
      <c r="I10" s="69">
        <f t="shared" si="5"/>
        <v>0</v>
      </c>
      <c r="K10" s="69"/>
      <c r="L10" s="69"/>
      <c r="P10" s="69"/>
      <c r="Q10" s="69"/>
    </row>
    <row r="11" spans="1:17" ht="15.75" x14ac:dyDescent="0.25">
      <c r="A11" s="10">
        <v>5</v>
      </c>
      <c r="B11" s="72">
        <v>8</v>
      </c>
      <c r="C11" s="3" t="s">
        <v>26</v>
      </c>
      <c r="D11" s="61" t="s">
        <v>144</v>
      </c>
      <c r="E11" s="67">
        <v>97285</v>
      </c>
      <c r="F11" s="68">
        <f t="shared" si="3"/>
        <v>92420.75</v>
      </c>
      <c r="G11" s="68">
        <f t="shared" si="4"/>
        <v>4864.25</v>
      </c>
      <c r="H11" s="68">
        <v>0</v>
      </c>
      <c r="I11" s="69">
        <f t="shared" si="5"/>
        <v>0</v>
      </c>
      <c r="K11" s="69"/>
      <c r="L11" s="69"/>
      <c r="P11" s="69"/>
      <c r="Q11" s="69"/>
    </row>
    <row r="12" spans="1:17" ht="15.75" x14ac:dyDescent="0.25">
      <c r="A12" s="10">
        <v>6</v>
      </c>
      <c r="B12" s="72">
        <v>9</v>
      </c>
      <c r="C12" s="3" t="s">
        <v>18</v>
      </c>
      <c r="D12" s="61" t="s">
        <v>147</v>
      </c>
      <c r="E12" s="66">
        <v>192500</v>
      </c>
      <c r="F12" s="68">
        <f t="shared" si="3"/>
        <v>182875</v>
      </c>
      <c r="G12" s="68">
        <f t="shared" si="4"/>
        <v>9625</v>
      </c>
      <c r="H12" s="68">
        <v>0</v>
      </c>
      <c r="I12" s="69">
        <f t="shared" si="5"/>
        <v>0</v>
      </c>
      <c r="K12" s="69"/>
      <c r="L12" s="69"/>
      <c r="P12" s="69"/>
      <c r="Q12" s="69"/>
    </row>
    <row r="13" spans="1:17" ht="15.75" x14ac:dyDescent="0.25">
      <c r="A13" s="10">
        <v>7</v>
      </c>
      <c r="B13" s="72">
        <v>11</v>
      </c>
      <c r="C13" s="53" t="s">
        <v>16</v>
      </c>
      <c r="D13" s="61" t="s">
        <v>144</v>
      </c>
      <c r="E13" s="66">
        <v>123471.76</v>
      </c>
      <c r="F13" s="68">
        <f t="shared" si="3"/>
        <v>117298.17</v>
      </c>
      <c r="G13" s="68">
        <f t="shared" si="4"/>
        <v>6173.59</v>
      </c>
      <c r="H13" s="68">
        <v>0</v>
      </c>
      <c r="I13" s="69">
        <f t="shared" si="5"/>
        <v>0</v>
      </c>
      <c r="K13" s="69"/>
      <c r="L13" s="69"/>
      <c r="P13" s="69"/>
      <c r="Q13" s="69"/>
    </row>
    <row r="14" spans="1:17" ht="15.75" x14ac:dyDescent="0.25">
      <c r="A14" s="10">
        <v>8</v>
      </c>
      <c r="B14" s="72">
        <v>12</v>
      </c>
      <c r="C14" s="3" t="s">
        <v>94</v>
      </c>
      <c r="D14" s="61" t="s">
        <v>148</v>
      </c>
      <c r="E14" s="67">
        <v>126000</v>
      </c>
      <c r="F14" s="68">
        <f t="shared" si="3"/>
        <v>119700</v>
      </c>
      <c r="G14" s="68">
        <f t="shared" si="4"/>
        <v>6300</v>
      </c>
      <c r="H14" s="68">
        <v>0</v>
      </c>
      <c r="I14" s="69">
        <f t="shared" si="5"/>
        <v>0</v>
      </c>
      <c r="K14" s="69"/>
      <c r="L14" s="69"/>
      <c r="P14" s="69"/>
      <c r="Q14" s="69"/>
    </row>
    <row r="15" spans="1:17" ht="15.75" x14ac:dyDescent="0.25">
      <c r="A15" s="10">
        <v>9</v>
      </c>
      <c r="B15" s="72">
        <v>13</v>
      </c>
      <c r="C15" s="3" t="s">
        <v>95</v>
      </c>
      <c r="D15" s="61" t="s">
        <v>144</v>
      </c>
      <c r="E15" s="67">
        <v>30589.17</v>
      </c>
      <c r="F15" s="68">
        <f t="shared" si="3"/>
        <v>29059.71</v>
      </c>
      <c r="G15" s="68">
        <f t="shared" si="4"/>
        <v>1529.46</v>
      </c>
      <c r="H15" s="68">
        <v>0</v>
      </c>
      <c r="I15" s="69">
        <f t="shared" si="5"/>
        <v>0</v>
      </c>
      <c r="K15" s="69"/>
      <c r="L15" s="69"/>
      <c r="P15" s="69"/>
      <c r="Q15" s="69"/>
    </row>
    <row r="16" spans="1:17" ht="15.75" x14ac:dyDescent="0.25">
      <c r="A16" s="10">
        <v>10</v>
      </c>
      <c r="B16" s="72">
        <v>14</v>
      </c>
      <c r="C16" s="3" t="s">
        <v>28</v>
      </c>
      <c r="D16" s="61" t="s">
        <v>144</v>
      </c>
      <c r="E16" s="67">
        <v>155133.5</v>
      </c>
      <c r="F16" s="68">
        <f>ROUND(E16*0.95,2)-0.01</f>
        <v>147376.81999999998</v>
      </c>
      <c r="G16" s="68">
        <f t="shared" si="4"/>
        <v>7756.68</v>
      </c>
      <c r="H16" s="68">
        <v>0</v>
      </c>
      <c r="I16" s="69">
        <f t="shared" si="5"/>
        <v>0</v>
      </c>
      <c r="K16" s="69"/>
      <c r="L16" s="69"/>
      <c r="P16" s="69"/>
      <c r="Q16" s="69"/>
    </row>
    <row r="17" spans="1:17" ht="15.75" x14ac:dyDescent="0.25">
      <c r="A17" s="10">
        <v>11</v>
      </c>
      <c r="B17" s="72">
        <v>15</v>
      </c>
      <c r="C17" s="3" t="s">
        <v>85</v>
      </c>
      <c r="D17" s="61" t="s">
        <v>149</v>
      </c>
      <c r="E17" s="67">
        <v>198000</v>
      </c>
      <c r="F17" s="68">
        <f t="shared" si="3"/>
        <v>188100</v>
      </c>
      <c r="G17" s="68">
        <f t="shared" si="4"/>
        <v>9900</v>
      </c>
      <c r="H17" s="68">
        <v>0</v>
      </c>
      <c r="I17" s="69">
        <f t="shared" si="5"/>
        <v>0</v>
      </c>
      <c r="K17" s="69"/>
      <c r="L17" s="69"/>
      <c r="P17" s="69"/>
      <c r="Q17" s="69"/>
    </row>
    <row r="18" spans="1:17" ht="15.75" x14ac:dyDescent="0.25">
      <c r="A18" s="10">
        <v>12</v>
      </c>
      <c r="B18" s="72">
        <v>16</v>
      </c>
      <c r="C18" s="3" t="s">
        <v>96</v>
      </c>
      <c r="D18" s="61" t="s">
        <v>151</v>
      </c>
      <c r="E18" s="67">
        <v>241511</v>
      </c>
      <c r="F18" s="68">
        <f t="shared" si="3"/>
        <v>229435.45</v>
      </c>
      <c r="G18" s="68">
        <f t="shared" si="4"/>
        <v>12075.55</v>
      </c>
      <c r="H18" s="68">
        <v>0</v>
      </c>
      <c r="I18" s="69">
        <f t="shared" si="5"/>
        <v>0</v>
      </c>
      <c r="K18" s="69"/>
      <c r="L18" s="69"/>
      <c r="P18" s="69"/>
      <c r="Q18" s="69"/>
    </row>
    <row r="19" spans="1:17" ht="36" customHeight="1" x14ac:dyDescent="0.25">
      <c r="A19" s="10">
        <v>13</v>
      </c>
      <c r="B19" s="72">
        <v>18</v>
      </c>
      <c r="C19" s="54" t="s">
        <v>88</v>
      </c>
      <c r="D19" s="62" t="s">
        <v>148</v>
      </c>
      <c r="E19" s="66">
        <v>134400</v>
      </c>
      <c r="F19" s="68">
        <f t="shared" si="3"/>
        <v>127680</v>
      </c>
      <c r="G19" s="68">
        <f t="shared" si="4"/>
        <v>6720</v>
      </c>
      <c r="H19" s="68">
        <v>0</v>
      </c>
      <c r="I19" s="69">
        <f t="shared" si="5"/>
        <v>0</v>
      </c>
      <c r="K19" s="69"/>
      <c r="L19" s="69"/>
      <c r="P19" s="69"/>
      <c r="Q19" s="69"/>
    </row>
    <row r="20" spans="1:17" ht="15.75" x14ac:dyDescent="0.25">
      <c r="A20" s="10">
        <v>14</v>
      </c>
      <c r="B20" s="72">
        <v>19</v>
      </c>
      <c r="C20" s="3" t="s">
        <v>97</v>
      </c>
      <c r="D20" s="61" t="s">
        <v>152</v>
      </c>
      <c r="E20" s="66">
        <v>220000</v>
      </c>
      <c r="F20" s="68">
        <f t="shared" si="3"/>
        <v>209000</v>
      </c>
      <c r="G20" s="68">
        <f t="shared" si="4"/>
        <v>11000</v>
      </c>
      <c r="H20" s="68">
        <v>0</v>
      </c>
      <c r="I20" s="69">
        <f t="shared" si="5"/>
        <v>0</v>
      </c>
      <c r="K20" s="69"/>
      <c r="L20" s="69"/>
      <c r="P20" s="69"/>
      <c r="Q20" s="69"/>
    </row>
    <row r="21" spans="1:17" ht="15.75" x14ac:dyDescent="0.25">
      <c r="A21" s="10">
        <v>15</v>
      </c>
      <c r="B21" s="72">
        <v>20</v>
      </c>
      <c r="C21" s="3" t="s">
        <v>21</v>
      </c>
      <c r="D21" s="61" t="s">
        <v>153</v>
      </c>
      <c r="E21" s="66">
        <v>150000</v>
      </c>
      <c r="F21" s="68">
        <f t="shared" si="3"/>
        <v>142500</v>
      </c>
      <c r="G21" s="68">
        <f t="shared" si="4"/>
        <v>7500</v>
      </c>
      <c r="H21" s="68">
        <v>0</v>
      </c>
      <c r="I21" s="69">
        <f t="shared" si="5"/>
        <v>0</v>
      </c>
      <c r="K21" s="69"/>
      <c r="L21" s="69"/>
      <c r="P21" s="69"/>
      <c r="Q21" s="69"/>
    </row>
    <row r="22" spans="1:17" ht="15.75" x14ac:dyDescent="0.25">
      <c r="A22" s="10">
        <v>16</v>
      </c>
      <c r="B22" s="72">
        <v>21</v>
      </c>
      <c r="C22" s="3" t="s">
        <v>41</v>
      </c>
      <c r="D22" s="61" t="s">
        <v>149</v>
      </c>
      <c r="E22" s="66">
        <v>117128</v>
      </c>
      <c r="F22" s="68">
        <f t="shared" si="3"/>
        <v>111271.6</v>
      </c>
      <c r="G22" s="68">
        <f t="shared" si="4"/>
        <v>5856.4</v>
      </c>
      <c r="H22" s="68">
        <v>0</v>
      </c>
      <c r="I22" s="69">
        <f t="shared" si="5"/>
        <v>0</v>
      </c>
      <c r="K22" s="69"/>
      <c r="L22" s="69"/>
      <c r="P22" s="69"/>
      <c r="Q22" s="69"/>
    </row>
    <row r="23" spans="1:17" ht="15.75" x14ac:dyDescent="0.25">
      <c r="A23" s="10">
        <v>17</v>
      </c>
      <c r="B23" s="72">
        <v>22</v>
      </c>
      <c r="C23" s="3" t="s">
        <v>98</v>
      </c>
      <c r="D23" s="61" t="s">
        <v>154</v>
      </c>
      <c r="E23" s="66">
        <v>75000</v>
      </c>
      <c r="F23" s="68">
        <f t="shared" si="3"/>
        <v>71250</v>
      </c>
      <c r="G23" s="68">
        <f t="shared" si="4"/>
        <v>3750</v>
      </c>
      <c r="H23" s="68">
        <v>0</v>
      </c>
      <c r="I23" s="69">
        <f t="shared" si="5"/>
        <v>0</v>
      </c>
      <c r="K23" s="69"/>
      <c r="L23" s="69"/>
      <c r="P23" s="69"/>
      <c r="Q23" s="69"/>
    </row>
    <row r="24" spans="1:17" ht="15.75" x14ac:dyDescent="0.25">
      <c r="A24" s="10">
        <v>18</v>
      </c>
      <c r="B24" s="72">
        <v>25</v>
      </c>
      <c r="C24" s="3" t="s">
        <v>25</v>
      </c>
      <c r="D24" s="61" t="s">
        <v>144</v>
      </c>
      <c r="E24" s="66">
        <v>300000</v>
      </c>
      <c r="F24" s="68">
        <f t="shared" si="3"/>
        <v>285000</v>
      </c>
      <c r="G24" s="68">
        <f t="shared" si="4"/>
        <v>15000</v>
      </c>
      <c r="H24" s="68">
        <v>0</v>
      </c>
      <c r="I24" s="69">
        <f t="shared" si="5"/>
        <v>0</v>
      </c>
      <c r="K24" s="69"/>
      <c r="L24" s="69"/>
      <c r="P24" s="69"/>
      <c r="Q24" s="69"/>
    </row>
    <row r="25" spans="1:17" ht="15.75" x14ac:dyDescent="0.25">
      <c r="A25" s="10">
        <v>19</v>
      </c>
      <c r="B25" s="72">
        <v>27</v>
      </c>
      <c r="C25" s="3" t="s">
        <v>45</v>
      </c>
      <c r="D25" s="61" t="s">
        <v>148</v>
      </c>
      <c r="E25" s="66">
        <v>92250</v>
      </c>
      <c r="F25" s="68">
        <f t="shared" si="3"/>
        <v>87637.5</v>
      </c>
      <c r="G25" s="68">
        <f t="shared" si="4"/>
        <v>4612.5</v>
      </c>
      <c r="H25" s="68">
        <v>0</v>
      </c>
      <c r="I25" s="69">
        <f t="shared" si="5"/>
        <v>0</v>
      </c>
      <c r="K25" s="69"/>
      <c r="L25" s="69"/>
      <c r="P25" s="69"/>
      <c r="Q25" s="69"/>
    </row>
    <row r="26" spans="1:17" ht="15.75" x14ac:dyDescent="0.25">
      <c r="A26" s="10">
        <v>20</v>
      </c>
      <c r="B26" s="72">
        <v>28</v>
      </c>
      <c r="C26" s="3" t="s">
        <v>99</v>
      </c>
      <c r="D26" s="61" t="s">
        <v>155</v>
      </c>
      <c r="E26" s="66">
        <v>300000</v>
      </c>
      <c r="F26" s="68">
        <f t="shared" si="3"/>
        <v>285000</v>
      </c>
      <c r="G26" s="68">
        <f t="shared" si="4"/>
        <v>15000</v>
      </c>
      <c r="H26" s="68">
        <v>0</v>
      </c>
      <c r="I26" s="69">
        <f t="shared" si="5"/>
        <v>0</v>
      </c>
      <c r="K26" s="69"/>
      <c r="L26" s="69"/>
      <c r="P26" s="69"/>
      <c r="Q26" s="69"/>
    </row>
    <row r="27" spans="1:17" ht="15.75" x14ac:dyDescent="0.25">
      <c r="A27" s="10">
        <v>21</v>
      </c>
      <c r="B27" s="72">
        <v>29</v>
      </c>
      <c r="C27" s="3" t="s">
        <v>100</v>
      </c>
      <c r="D27" s="61" t="s">
        <v>156</v>
      </c>
      <c r="E27" s="66">
        <v>57500</v>
      </c>
      <c r="F27" s="68">
        <f t="shared" si="3"/>
        <v>54625</v>
      </c>
      <c r="G27" s="68">
        <f t="shared" si="4"/>
        <v>2875</v>
      </c>
      <c r="H27" s="68">
        <v>0</v>
      </c>
      <c r="I27" s="69">
        <f t="shared" si="5"/>
        <v>0</v>
      </c>
      <c r="J27" s="9"/>
      <c r="K27" s="69"/>
      <c r="L27" s="69"/>
      <c r="P27" s="69"/>
      <c r="Q27" s="69"/>
    </row>
    <row r="28" spans="1:17" ht="15.75" x14ac:dyDescent="0.25">
      <c r="A28" s="10">
        <v>22</v>
      </c>
      <c r="B28" s="72">
        <v>32</v>
      </c>
      <c r="C28" s="3" t="s">
        <v>19</v>
      </c>
      <c r="D28" s="61" t="s">
        <v>155</v>
      </c>
      <c r="E28" s="66">
        <v>300000</v>
      </c>
      <c r="F28" s="68">
        <f t="shared" si="3"/>
        <v>285000</v>
      </c>
      <c r="G28" s="68">
        <f t="shared" si="4"/>
        <v>15000</v>
      </c>
      <c r="H28" s="68">
        <v>0</v>
      </c>
      <c r="I28" s="69">
        <f t="shared" si="5"/>
        <v>0</v>
      </c>
      <c r="J28" s="9"/>
      <c r="K28" s="69"/>
      <c r="L28" s="69"/>
      <c r="P28" s="69"/>
      <c r="Q28" s="69"/>
    </row>
    <row r="29" spans="1:17" ht="15.75" x14ac:dyDescent="0.25">
      <c r="A29" s="10">
        <v>23</v>
      </c>
      <c r="B29" s="72">
        <v>33</v>
      </c>
      <c r="C29" s="3" t="s">
        <v>32</v>
      </c>
      <c r="D29" s="61" t="s">
        <v>157</v>
      </c>
      <c r="E29" s="66">
        <v>148175</v>
      </c>
      <c r="F29" s="68">
        <f t="shared" si="3"/>
        <v>140766.25</v>
      </c>
      <c r="G29" s="68">
        <f t="shared" si="4"/>
        <v>7408.75</v>
      </c>
      <c r="H29" s="68">
        <v>0</v>
      </c>
      <c r="I29" s="69">
        <f t="shared" si="5"/>
        <v>0</v>
      </c>
      <c r="J29" s="9"/>
      <c r="K29" s="69"/>
      <c r="L29" s="69"/>
      <c r="P29" s="69"/>
      <c r="Q29" s="69"/>
    </row>
    <row r="30" spans="1:17" ht="15.75" x14ac:dyDescent="0.25">
      <c r="A30" s="10">
        <v>24</v>
      </c>
      <c r="B30" s="72">
        <v>34</v>
      </c>
      <c r="C30" s="3" t="s">
        <v>101</v>
      </c>
      <c r="D30" s="61" t="s">
        <v>154</v>
      </c>
      <c r="E30" s="66">
        <v>223300</v>
      </c>
      <c r="F30" s="68">
        <f t="shared" si="3"/>
        <v>212135</v>
      </c>
      <c r="G30" s="68">
        <f t="shared" si="4"/>
        <v>11165</v>
      </c>
      <c r="H30" s="68">
        <v>0</v>
      </c>
      <c r="I30" s="69">
        <f t="shared" si="5"/>
        <v>0</v>
      </c>
      <c r="J30" s="9"/>
      <c r="K30" s="69"/>
      <c r="L30" s="69"/>
      <c r="P30" s="69"/>
      <c r="Q30" s="69"/>
    </row>
    <row r="31" spans="1:17" ht="15.75" x14ac:dyDescent="0.25">
      <c r="A31" s="10">
        <v>25</v>
      </c>
      <c r="B31" s="72">
        <v>35</v>
      </c>
      <c r="C31" s="3" t="s">
        <v>49</v>
      </c>
      <c r="D31" s="61" t="s">
        <v>155</v>
      </c>
      <c r="E31" s="66">
        <v>300000</v>
      </c>
      <c r="F31" s="68">
        <f t="shared" si="3"/>
        <v>285000</v>
      </c>
      <c r="G31" s="68">
        <f t="shared" si="4"/>
        <v>15000</v>
      </c>
      <c r="H31" s="68">
        <v>0</v>
      </c>
      <c r="I31" s="69">
        <f t="shared" si="5"/>
        <v>0</v>
      </c>
      <c r="J31" s="9"/>
      <c r="K31" s="69"/>
      <c r="L31" s="69"/>
      <c r="P31" s="69"/>
      <c r="Q31" s="69"/>
    </row>
    <row r="32" spans="1:17" ht="15.75" x14ac:dyDescent="0.25">
      <c r="A32" s="10">
        <v>26</v>
      </c>
      <c r="B32" s="72">
        <v>36</v>
      </c>
      <c r="C32" s="3" t="s">
        <v>89</v>
      </c>
      <c r="D32" s="61" t="s">
        <v>144</v>
      </c>
      <c r="E32" s="66">
        <v>128250</v>
      </c>
      <c r="F32" s="68">
        <f t="shared" si="3"/>
        <v>121837.5</v>
      </c>
      <c r="G32" s="68">
        <f t="shared" si="4"/>
        <v>6412.5</v>
      </c>
      <c r="H32" s="68">
        <v>0</v>
      </c>
      <c r="I32" s="69">
        <f t="shared" si="5"/>
        <v>0</v>
      </c>
      <c r="J32" s="9"/>
      <c r="K32" s="69"/>
      <c r="L32" s="69"/>
      <c r="P32" s="69"/>
      <c r="Q32" s="69"/>
    </row>
    <row r="33" spans="1:17" ht="15.75" x14ac:dyDescent="0.25">
      <c r="A33" s="10">
        <v>27</v>
      </c>
      <c r="B33" s="72">
        <v>37</v>
      </c>
      <c r="C33" s="3" t="s">
        <v>102</v>
      </c>
      <c r="D33" s="61" t="s">
        <v>158</v>
      </c>
      <c r="E33" s="66">
        <v>97259.12</v>
      </c>
      <c r="F33" s="68">
        <f t="shared" si="3"/>
        <v>92396.160000000003</v>
      </c>
      <c r="G33" s="68">
        <f t="shared" si="4"/>
        <v>4862.96</v>
      </c>
      <c r="H33" s="68">
        <v>0</v>
      </c>
      <c r="I33" s="69">
        <f t="shared" si="5"/>
        <v>0</v>
      </c>
      <c r="J33" s="9"/>
      <c r="K33" s="69"/>
      <c r="L33" s="69"/>
      <c r="P33" s="69"/>
      <c r="Q33" s="69"/>
    </row>
    <row r="34" spans="1:17" ht="15.75" x14ac:dyDescent="0.25">
      <c r="A34" s="10">
        <v>28</v>
      </c>
      <c r="B34" s="72">
        <v>38</v>
      </c>
      <c r="C34" s="3" t="s">
        <v>103</v>
      </c>
      <c r="D34" s="61" t="s">
        <v>144</v>
      </c>
      <c r="E34" s="66">
        <v>191653</v>
      </c>
      <c r="F34" s="68">
        <f t="shared" si="3"/>
        <v>182070.35</v>
      </c>
      <c r="G34" s="68">
        <f t="shared" si="4"/>
        <v>9582.65</v>
      </c>
      <c r="H34" s="68">
        <v>0</v>
      </c>
      <c r="I34" s="69">
        <f t="shared" si="5"/>
        <v>0</v>
      </c>
      <c r="J34" s="9"/>
      <c r="K34" s="69"/>
      <c r="L34" s="69"/>
      <c r="P34" s="69"/>
      <c r="Q34" s="69"/>
    </row>
    <row r="35" spans="1:17" ht="15.75" x14ac:dyDescent="0.25">
      <c r="A35" s="10">
        <v>29</v>
      </c>
      <c r="B35" s="75">
        <v>40</v>
      </c>
      <c r="C35" s="3" t="s">
        <v>34</v>
      </c>
      <c r="D35" s="61" t="s">
        <v>159</v>
      </c>
      <c r="E35" s="66">
        <v>48000</v>
      </c>
      <c r="F35" s="68">
        <f t="shared" si="3"/>
        <v>45600</v>
      </c>
      <c r="G35" s="68">
        <f t="shared" si="4"/>
        <v>2400</v>
      </c>
      <c r="H35" s="68">
        <v>0</v>
      </c>
      <c r="I35" s="69">
        <f t="shared" si="5"/>
        <v>0</v>
      </c>
      <c r="J35" s="9"/>
      <c r="K35" s="69"/>
      <c r="L35" s="69"/>
      <c r="P35" s="69"/>
      <c r="Q35" s="69"/>
    </row>
    <row r="36" spans="1:17" ht="15.75" x14ac:dyDescent="0.25">
      <c r="A36" s="10">
        <v>30</v>
      </c>
      <c r="B36" s="75">
        <v>42</v>
      </c>
      <c r="C36" s="3" t="s">
        <v>38</v>
      </c>
      <c r="D36" s="61" t="s">
        <v>144</v>
      </c>
      <c r="E36" s="66">
        <v>246000</v>
      </c>
      <c r="F36" s="68">
        <f t="shared" si="3"/>
        <v>233700</v>
      </c>
      <c r="G36" s="68">
        <f t="shared" si="4"/>
        <v>12300</v>
      </c>
      <c r="H36" s="68">
        <v>0</v>
      </c>
      <c r="I36" s="69">
        <f t="shared" si="5"/>
        <v>0</v>
      </c>
      <c r="J36" s="9"/>
      <c r="K36" s="69"/>
      <c r="L36" s="69"/>
      <c r="P36" s="69"/>
      <c r="Q36" s="69"/>
    </row>
    <row r="37" spans="1:17" ht="15.75" customHeight="1" x14ac:dyDescent="0.25">
      <c r="A37" s="10">
        <v>31</v>
      </c>
      <c r="B37" s="75">
        <v>43</v>
      </c>
      <c r="C37" s="3" t="s">
        <v>104</v>
      </c>
      <c r="D37" s="61" t="s">
        <v>155</v>
      </c>
      <c r="E37" s="66">
        <v>250000</v>
      </c>
      <c r="F37" s="68">
        <f t="shared" si="3"/>
        <v>237500</v>
      </c>
      <c r="G37" s="68">
        <f t="shared" si="4"/>
        <v>12500</v>
      </c>
      <c r="H37" s="68">
        <v>0</v>
      </c>
      <c r="I37" s="69">
        <f t="shared" si="5"/>
        <v>0</v>
      </c>
      <c r="K37" s="69"/>
      <c r="L37" s="69"/>
      <c r="P37" s="69"/>
      <c r="Q37" s="69"/>
    </row>
    <row r="38" spans="1:17" ht="15.75" x14ac:dyDescent="0.25">
      <c r="A38" s="10">
        <v>32</v>
      </c>
      <c r="B38" s="75">
        <v>47</v>
      </c>
      <c r="C38" s="3" t="s">
        <v>106</v>
      </c>
      <c r="D38" s="61" t="s">
        <v>144</v>
      </c>
      <c r="E38" s="66">
        <v>300000</v>
      </c>
      <c r="F38" s="68">
        <f t="shared" si="3"/>
        <v>285000</v>
      </c>
      <c r="G38" s="68">
        <f t="shared" si="4"/>
        <v>15000</v>
      </c>
      <c r="H38" s="68">
        <v>0</v>
      </c>
      <c r="I38" s="69">
        <f t="shared" si="5"/>
        <v>0</v>
      </c>
      <c r="K38" s="69"/>
      <c r="L38" s="69"/>
      <c r="P38" s="69"/>
      <c r="Q38" s="69"/>
    </row>
    <row r="39" spans="1:17" ht="15.75" x14ac:dyDescent="0.25">
      <c r="A39" s="10">
        <v>33</v>
      </c>
      <c r="B39" s="75">
        <v>48</v>
      </c>
      <c r="C39" s="3" t="s">
        <v>107</v>
      </c>
      <c r="D39" s="61" t="s">
        <v>144</v>
      </c>
      <c r="E39" s="66">
        <v>133458</v>
      </c>
      <c r="F39" s="68">
        <f t="shared" si="3"/>
        <v>126785.1</v>
      </c>
      <c r="G39" s="68">
        <f t="shared" si="4"/>
        <v>6672.9</v>
      </c>
      <c r="H39" s="68">
        <v>0</v>
      </c>
      <c r="I39" s="69">
        <f t="shared" si="5"/>
        <v>0</v>
      </c>
      <c r="K39" s="69"/>
      <c r="L39" s="69"/>
      <c r="P39" s="69"/>
      <c r="Q39" s="69"/>
    </row>
    <row r="40" spans="1:17" ht="15.75" x14ac:dyDescent="0.25">
      <c r="A40" s="10">
        <v>34</v>
      </c>
      <c r="B40" s="75">
        <v>50</v>
      </c>
      <c r="C40" s="3" t="s">
        <v>108</v>
      </c>
      <c r="D40" s="61" t="s">
        <v>161</v>
      </c>
      <c r="E40" s="66">
        <v>210370</v>
      </c>
      <c r="F40" s="68">
        <f t="shared" si="3"/>
        <v>199851.5</v>
      </c>
      <c r="G40" s="68">
        <f t="shared" si="4"/>
        <v>10518.5</v>
      </c>
      <c r="H40" s="68">
        <v>0</v>
      </c>
      <c r="I40" s="69">
        <f t="shared" si="5"/>
        <v>0</v>
      </c>
      <c r="K40" s="69"/>
      <c r="L40" s="69"/>
      <c r="P40" s="69"/>
      <c r="Q40" s="69"/>
    </row>
    <row r="41" spans="1:17" ht="15.75" x14ac:dyDescent="0.25">
      <c r="A41" s="10">
        <v>35</v>
      </c>
      <c r="B41" s="75">
        <v>54</v>
      </c>
      <c r="C41" s="3" t="s">
        <v>20</v>
      </c>
      <c r="D41" s="61" t="s">
        <v>144</v>
      </c>
      <c r="E41" s="66">
        <v>213010</v>
      </c>
      <c r="F41" s="68">
        <f t="shared" si="3"/>
        <v>202359.5</v>
      </c>
      <c r="G41" s="68">
        <f t="shared" si="4"/>
        <v>10650.5</v>
      </c>
      <c r="H41" s="68">
        <v>0</v>
      </c>
      <c r="I41" s="69">
        <f t="shared" si="5"/>
        <v>0</v>
      </c>
      <c r="K41" s="69"/>
      <c r="L41" s="69"/>
      <c r="P41" s="69"/>
      <c r="Q41" s="69"/>
    </row>
    <row r="42" spans="1:17" ht="15.75" x14ac:dyDescent="0.25">
      <c r="A42" s="10">
        <v>36</v>
      </c>
      <c r="B42" s="71">
        <v>55</v>
      </c>
      <c r="C42" s="3" t="s">
        <v>23</v>
      </c>
      <c r="D42" s="61" t="s">
        <v>162</v>
      </c>
      <c r="E42" s="66">
        <v>300000</v>
      </c>
      <c r="F42" s="68">
        <f t="shared" si="3"/>
        <v>285000</v>
      </c>
      <c r="G42" s="68">
        <f t="shared" si="4"/>
        <v>15000</v>
      </c>
      <c r="H42" s="68">
        <v>0</v>
      </c>
      <c r="I42" s="69">
        <f t="shared" si="5"/>
        <v>0</v>
      </c>
      <c r="K42" s="69"/>
      <c r="L42" s="69"/>
      <c r="P42" s="69"/>
      <c r="Q42" s="69"/>
    </row>
    <row r="43" spans="1:17" ht="15.75" x14ac:dyDescent="0.25">
      <c r="A43" s="10">
        <v>37</v>
      </c>
      <c r="B43" s="75">
        <v>62</v>
      </c>
      <c r="C43" s="3" t="s">
        <v>31</v>
      </c>
      <c r="D43" s="61" t="s">
        <v>163</v>
      </c>
      <c r="E43" s="66">
        <v>232200</v>
      </c>
      <c r="F43" s="68">
        <f t="shared" si="3"/>
        <v>220590</v>
      </c>
      <c r="G43" s="68">
        <f t="shared" si="4"/>
        <v>11610</v>
      </c>
      <c r="H43" s="68">
        <v>0</v>
      </c>
      <c r="I43" s="69">
        <f t="shared" si="5"/>
        <v>0</v>
      </c>
      <c r="K43" s="69"/>
      <c r="L43" s="69"/>
      <c r="P43" s="69"/>
      <c r="Q43" s="69"/>
    </row>
    <row r="44" spans="1:17" ht="15.75" x14ac:dyDescent="0.25">
      <c r="A44" s="10">
        <v>38</v>
      </c>
      <c r="B44" s="75">
        <v>64</v>
      </c>
      <c r="C44" s="3" t="s">
        <v>33</v>
      </c>
      <c r="D44" s="61" t="s">
        <v>155</v>
      </c>
      <c r="E44" s="66">
        <v>300000</v>
      </c>
      <c r="F44" s="68">
        <f t="shared" si="3"/>
        <v>285000</v>
      </c>
      <c r="G44" s="68">
        <f t="shared" si="4"/>
        <v>15000</v>
      </c>
      <c r="H44" s="68">
        <v>0</v>
      </c>
      <c r="I44" s="69">
        <f t="shared" si="5"/>
        <v>0</v>
      </c>
      <c r="K44" s="69"/>
      <c r="L44" s="69"/>
      <c r="P44" s="69"/>
      <c r="Q44" s="69"/>
    </row>
    <row r="45" spans="1:17" ht="15.75" x14ac:dyDescent="0.25">
      <c r="A45" s="10">
        <v>39</v>
      </c>
      <c r="B45" s="75">
        <v>69</v>
      </c>
      <c r="C45" s="3" t="s">
        <v>109</v>
      </c>
      <c r="D45" s="61" t="s">
        <v>159</v>
      </c>
      <c r="E45" s="66">
        <v>300000</v>
      </c>
      <c r="F45" s="68">
        <f t="shared" si="3"/>
        <v>285000</v>
      </c>
      <c r="G45" s="68">
        <f t="shared" si="4"/>
        <v>15000</v>
      </c>
      <c r="H45" s="68">
        <v>0</v>
      </c>
      <c r="I45" s="69">
        <f t="shared" si="5"/>
        <v>0</v>
      </c>
      <c r="K45" s="69"/>
      <c r="L45" s="69"/>
      <c r="P45" s="69"/>
      <c r="Q45" s="69"/>
    </row>
    <row r="46" spans="1:17" ht="15.75" x14ac:dyDescent="0.25">
      <c r="A46" s="10">
        <v>40</v>
      </c>
      <c r="B46" s="75">
        <v>70</v>
      </c>
      <c r="C46" s="55" t="s">
        <v>30</v>
      </c>
      <c r="D46" s="61" t="s">
        <v>164</v>
      </c>
      <c r="E46" s="66">
        <v>288000</v>
      </c>
      <c r="F46" s="68">
        <f t="shared" si="3"/>
        <v>273600</v>
      </c>
      <c r="G46" s="68">
        <f t="shared" si="4"/>
        <v>14400</v>
      </c>
      <c r="H46" s="68">
        <v>0</v>
      </c>
      <c r="I46" s="69">
        <f t="shared" si="5"/>
        <v>0</v>
      </c>
      <c r="K46" s="69"/>
      <c r="L46" s="69"/>
      <c r="P46" s="69"/>
      <c r="Q46" s="69"/>
    </row>
    <row r="47" spans="1:17" ht="15.75" x14ac:dyDescent="0.25">
      <c r="A47" s="10">
        <v>41</v>
      </c>
      <c r="B47" s="76">
        <v>72</v>
      </c>
      <c r="C47" s="58" t="s">
        <v>110</v>
      </c>
      <c r="D47" s="61" t="s">
        <v>165</v>
      </c>
      <c r="E47" s="66">
        <v>300000</v>
      </c>
      <c r="F47" s="68">
        <f t="shared" si="3"/>
        <v>285000</v>
      </c>
      <c r="G47" s="68">
        <f t="shared" si="4"/>
        <v>15000</v>
      </c>
      <c r="H47" s="68">
        <v>0</v>
      </c>
      <c r="I47" s="69">
        <f t="shared" si="5"/>
        <v>0</v>
      </c>
      <c r="K47" s="69"/>
      <c r="L47" s="69"/>
      <c r="P47" s="69"/>
      <c r="Q47" s="69"/>
    </row>
    <row r="48" spans="1:17" ht="15.75" x14ac:dyDescent="0.25">
      <c r="A48" s="10">
        <v>42</v>
      </c>
      <c r="B48" s="71">
        <v>73</v>
      </c>
      <c r="C48" s="3" t="s">
        <v>111</v>
      </c>
      <c r="D48" s="61" t="s">
        <v>161</v>
      </c>
      <c r="E48" s="66">
        <v>300000</v>
      </c>
      <c r="F48" s="68">
        <f t="shared" si="3"/>
        <v>285000</v>
      </c>
      <c r="G48" s="68">
        <f t="shared" si="4"/>
        <v>15000</v>
      </c>
      <c r="H48" s="68">
        <v>0</v>
      </c>
      <c r="I48" s="69">
        <f t="shared" si="5"/>
        <v>0</v>
      </c>
      <c r="K48" s="69"/>
      <c r="L48" s="69"/>
      <c r="P48" s="69"/>
      <c r="Q48" s="69"/>
    </row>
    <row r="49" spans="1:17" ht="15.75" x14ac:dyDescent="0.25">
      <c r="A49" s="10">
        <v>43</v>
      </c>
      <c r="B49" s="71">
        <v>74</v>
      </c>
      <c r="C49" s="3" t="s">
        <v>22</v>
      </c>
      <c r="D49" s="61" t="s">
        <v>166</v>
      </c>
      <c r="E49" s="66">
        <v>160900</v>
      </c>
      <c r="F49" s="68">
        <f t="shared" si="3"/>
        <v>152855</v>
      </c>
      <c r="G49" s="68">
        <f t="shared" si="4"/>
        <v>8045</v>
      </c>
      <c r="H49" s="68">
        <v>0</v>
      </c>
      <c r="I49" s="69">
        <f t="shared" si="5"/>
        <v>0</v>
      </c>
      <c r="K49" s="69"/>
      <c r="L49" s="69"/>
      <c r="P49" s="69"/>
      <c r="Q49" s="69"/>
    </row>
    <row r="50" spans="1:17" ht="15.75" x14ac:dyDescent="0.25">
      <c r="A50" s="10">
        <v>44</v>
      </c>
      <c r="B50" s="71">
        <v>76</v>
      </c>
      <c r="C50" s="59" t="s">
        <v>44</v>
      </c>
      <c r="D50" s="61" t="s">
        <v>167</v>
      </c>
      <c r="E50" s="66">
        <v>228750</v>
      </c>
      <c r="F50" s="68">
        <f t="shared" si="3"/>
        <v>217312.5</v>
      </c>
      <c r="G50" s="68">
        <f t="shared" si="4"/>
        <v>11437.5</v>
      </c>
      <c r="H50" s="68">
        <v>0</v>
      </c>
      <c r="I50" s="69">
        <f t="shared" si="5"/>
        <v>0</v>
      </c>
      <c r="K50" s="69"/>
      <c r="L50" s="69"/>
      <c r="P50" s="69"/>
      <c r="Q50" s="69"/>
    </row>
    <row r="51" spans="1:17" ht="15.75" x14ac:dyDescent="0.25">
      <c r="A51" s="10">
        <v>45</v>
      </c>
      <c r="B51" s="71">
        <v>77</v>
      </c>
      <c r="C51" s="60" t="s">
        <v>27</v>
      </c>
      <c r="D51" s="61" t="s">
        <v>155</v>
      </c>
      <c r="E51" s="66">
        <v>91250</v>
      </c>
      <c r="F51" s="68">
        <f t="shared" si="3"/>
        <v>86687.5</v>
      </c>
      <c r="G51" s="68">
        <f t="shared" si="4"/>
        <v>4562.5</v>
      </c>
      <c r="H51" s="68">
        <v>0</v>
      </c>
      <c r="I51" s="69">
        <f t="shared" si="5"/>
        <v>0</v>
      </c>
      <c r="K51" s="69"/>
      <c r="L51" s="69"/>
      <c r="P51" s="69"/>
      <c r="Q51" s="69"/>
    </row>
    <row r="52" spans="1:17" ht="15.75" x14ac:dyDescent="0.25">
      <c r="A52" s="10">
        <v>46</v>
      </c>
      <c r="B52" s="71">
        <v>78</v>
      </c>
      <c r="C52" s="3" t="s">
        <v>112</v>
      </c>
      <c r="D52" s="61" t="s">
        <v>168</v>
      </c>
      <c r="E52" s="66">
        <v>300000</v>
      </c>
      <c r="F52" s="68">
        <f t="shared" si="3"/>
        <v>285000</v>
      </c>
      <c r="G52" s="68">
        <f t="shared" si="4"/>
        <v>15000</v>
      </c>
      <c r="H52" s="68">
        <v>0</v>
      </c>
      <c r="I52" s="69">
        <f t="shared" si="5"/>
        <v>0</v>
      </c>
      <c r="K52" s="69"/>
      <c r="L52" s="69"/>
      <c r="P52" s="69"/>
      <c r="Q52" s="69"/>
    </row>
    <row r="53" spans="1:17" ht="15.75" x14ac:dyDescent="0.25">
      <c r="A53" s="10">
        <v>47</v>
      </c>
      <c r="B53" s="71">
        <v>80</v>
      </c>
      <c r="C53" s="58" t="s">
        <v>113</v>
      </c>
      <c r="D53" s="61" t="s">
        <v>148</v>
      </c>
      <c r="E53" s="66">
        <v>275479</v>
      </c>
      <c r="F53" s="68">
        <f t="shared" si="3"/>
        <v>261705.05</v>
      </c>
      <c r="G53" s="68">
        <f t="shared" si="4"/>
        <v>13773.95</v>
      </c>
      <c r="H53" s="68">
        <v>0</v>
      </c>
      <c r="I53" s="69">
        <f t="shared" si="5"/>
        <v>0</v>
      </c>
      <c r="K53" s="69"/>
      <c r="L53" s="69"/>
      <c r="P53" s="69"/>
      <c r="Q53" s="69"/>
    </row>
    <row r="54" spans="1:17" ht="15.75" x14ac:dyDescent="0.25">
      <c r="A54" s="10">
        <v>48</v>
      </c>
      <c r="B54" s="71">
        <v>82</v>
      </c>
      <c r="C54" s="3" t="s">
        <v>114</v>
      </c>
      <c r="D54" s="61" t="s">
        <v>155</v>
      </c>
      <c r="E54" s="66">
        <v>220000</v>
      </c>
      <c r="F54" s="68">
        <f t="shared" si="3"/>
        <v>209000</v>
      </c>
      <c r="G54" s="68">
        <f t="shared" si="4"/>
        <v>11000</v>
      </c>
      <c r="H54" s="68">
        <v>0</v>
      </c>
      <c r="I54" s="69">
        <f t="shared" si="5"/>
        <v>0</v>
      </c>
      <c r="K54" s="69"/>
      <c r="L54" s="69"/>
      <c r="P54" s="69"/>
      <c r="Q54" s="69"/>
    </row>
    <row r="55" spans="1:17" ht="15.75" x14ac:dyDescent="0.25">
      <c r="A55" s="10">
        <v>49</v>
      </c>
      <c r="B55" s="71">
        <v>84</v>
      </c>
      <c r="C55" s="3" t="s">
        <v>115</v>
      </c>
      <c r="D55" s="61" t="s">
        <v>169</v>
      </c>
      <c r="E55" s="66">
        <v>158400</v>
      </c>
      <c r="F55" s="68">
        <f t="shared" si="3"/>
        <v>150480</v>
      </c>
      <c r="G55" s="68">
        <f t="shared" si="4"/>
        <v>7920</v>
      </c>
      <c r="H55" s="68">
        <v>0</v>
      </c>
      <c r="I55" s="69">
        <f t="shared" si="5"/>
        <v>0</v>
      </c>
      <c r="K55" s="69"/>
      <c r="L55" s="69"/>
      <c r="P55" s="69"/>
      <c r="Q55" s="69"/>
    </row>
    <row r="56" spans="1:17" ht="15.75" x14ac:dyDescent="0.25">
      <c r="A56" s="10">
        <v>50</v>
      </c>
      <c r="B56" s="71">
        <v>85</v>
      </c>
      <c r="C56" s="58" t="s">
        <v>116</v>
      </c>
      <c r="D56" s="61" t="s">
        <v>170</v>
      </c>
      <c r="E56" s="66">
        <v>60000</v>
      </c>
      <c r="F56" s="68">
        <f t="shared" si="3"/>
        <v>57000</v>
      </c>
      <c r="G56" s="68">
        <f t="shared" si="4"/>
        <v>3000</v>
      </c>
      <c r="H56" s="68">
        <v>0</v>
      </c>
      <c r="I56" s="69">
        <f t="shared" si="5"/>
        <v>0</v>
      </c>
      <c r="K56" s="69"/>
      <c r="L56" s="69"/>
      <c r="P56" s="69"/>
      <c r="Q56" s="69"/>
    </row>
    <row r="57" spans="1:17" ht="15.75" x14ac:dyDescent="0.25">
      <c r="A57" s="10">
        <v>51</v>
      </c>
      <c r="B57" s="71">
        <v>86</v>
      </c>
      <c r="C57" s="3" t="s">
        <v>117</v>
      </c>
      <c r="D57" s="61" t="s">
        <v>171</v>
      </c>
      <c r="E57" s="66">
        <v>300000</v>
      </c>
      <c r="F57" s="68">
        <f t="shared" si="3"/>
        <v>285000</v>
      </c>
      <c r="G57" s="68">
        <f t="shared" si="4"/>
        <v>15000</v>
      </c>
      <c r="H57" s="68">
        <v>0</v>
      </c>
      <c r="I57" s="69">
        <f t="shared" si="5"/>
        <v>0</v>
      </c>
      <c r="K57" s="69"/>
      <c r="L57" s="69"/>
      <c r="P57" s="69"/>
      <c r="Q57" s="69"/>
    </row>
    <row r="58" spans="1:17" ht="15.75" x14ac:dyDescent="0.25">
      <c r="A58" s="10">
        <v>52</v>
      </c>
      <c r="B58" s="71">
        <v>91</v>
      </c>
      <c r="C58" s="3" t="s">
        <v>118</v>
      </c>
      <c r="D58" s="61" t="s">
        <v>144</v>
      </c>
      <c r="E58" s="66">
        <v>300000</v>
      </c>
      <c r="F58" s="68">
        <f t="shared" si="3"/>
        <v>285000</v>
      </c>
      <c r="G58" s="68">
        <f t="shared" si="4"/>
        <v>15000</v>
      </c>
      <c r="H58" s="68">
        <v>0</v>
      </c>
      <c r="I58" s="69">
        <f t="shared" si="5"/>
        <v>0</v>
      </c>
      <c r="K58" s="69"/>
      <c r="L58" s="69"/>
      <c r="P58" s="69"/>
      <c r="Q58" s="69"/>
    </row>
    <row r="59" spans="1:17" ht="15.75" x14ac:dyDescent="0.25">
      <c r="A59" s="10">
        <v>53</v>
      </c>
      <c r="B59" s="71">
        <v>94</v>
      </c>
      <c r="C59" s="3" t="s">
        <v>43</v>
      </c>
      <c r="D59" s="61" t="s">
        <v>172</v>
      </c>
      <c r="E59" s="66">
        <v>300000</v>
      </c>
      <c r="F59" s="68">
        <f t="shared" si="3"/>
        <v>285000</v>
      </c>
      <c r="G59" s="68">
        <f t="shared" si="4"/>
        <v>15000</v>
      </c>
      <c r="H59" s="68">
        <v>0</v>
      </c>
      <c r="I59" s="69">
        <f t="shared" si="5"/>
        <v>0</v>
      </c>
      <c r="K59" s="69"/>
      <c r="L59" s="69"/>
      <c r="P59" s="69"/>
      <c r="Q59" s="69"/>
    </row>
    <row r="60" spans="1:17" ht="15.75" x14ac:dyDescent="0.25">
      <c r="A60" s="10">
        <v>54</v>
      </c>
      <c r="B60" s="71">
        <v>96</v>
      </c>
      <c r="C60" s="3" t="s">
        <v>119</v>
      </c>
      <c r="D60" s="61" t="s">
        <v>155</v>
      </c>
      <c r="E60" s="66">
        <v>300000</v>
      </c>
      <c r="F60" s="68">
        <f t="shared" si="3"/>
        <v>285000</v>
      </c>
      <c r="G60" s="68">
        <f t="shared" si="4"/>
        <v>15000</v>
      </c>
      <c r="H60" s="68">
        <v>0</v>
      </c>
      <c r="I60" s="69">
        <f t="shared" si="5"/>
        <v>0</v>
      </c>
      <c r="K60" s="69"/>
      <c r="L60" s="69"/>
      <c r="P60" s="69"/>
      <c r="Q60" s="69"/>
    </row>
    <row r="61" spans="1:17" ht="15.75" x14ac:dyDescent="0.25">
      <c r="A61" s="10">
        <v>55</v>
      </c>
      <c r="B61" s="71">
        <v>100</v>
      </c>
      <c r="C61" s="53" t="s">
        <v>39</v>
      </c>
      <c r="D61" s="61" t="s">
        <v>144</v>
      </c>
      <c r="E61" s="66">
        <v>271000</v>
      </c>
      <c r="F61" s="68">
        <f t="shared" si="3"/>
        <v>257450</v>
      </c>
      <c r="G61" s="68">
        <f t="shared" si="4"/>
        <v>13550</v>
      </c>
      <c r="H61" s="68">
        <v>0</v>
      </c>
      <c r="I61" s="69">
        <f t="shared" ref="I61" si="6">F61+G61+H61-E61</f>
        <v>0</v>
      </c>
      <c r="K61" s="69"/>
      <c r="L61" s="69"/>
      <c r="P61" s="69"/>
      <c r="Q61" s="69"/>
    </row>
    <row r="62" spans="1:17" ht="15.75" x14ac:dyDescent="0.25">
      <c r="A62" s="10">
        <v>56</v>
      </c>
      <c r="B62" s="71">
        <v>101</v>
      </c>
      <c r="C62" s="113" t="s">
        <v>120</v>
      </c>
      <c r="D62" s="61" t="s">
        <v>172</v>
      </c>
      <c r="E62" s="114">
        <v>14407.09</v>
      </c>
      <c r="F62" s="68">
        <f t="shared" si="3"/>
        <v>13686.74</v>
      </c>
      <c r="G62" s="68">
        <f t="shared" si="4"/>
        <v>720.35</v>
      </c>
      <c r="H62" s="68">
        <v>0</v>
      </c>
      <c r="I62" s="69">
        <f t="shared" si="5"/>
        <v>0</v>
      </c>
      <c r="J62" s="70">
        <v>300000</v>
      </c>
      <c r="K62" s="8" t="s">
        <v>11</v>
      </c>
      <c r="L62" s="69"/>
      <c r="P62" s="69"/>
      <c r="Q62" s="69"/>
    </row>
    <row r="63" spans="1:17" ht="15.75" customHeight="1" x14ac:dyDescent="0.25">
      <c r="A63" s="175" t="s">
        <v>12</v>
      </c>
      <c r="B63" s="175"/>
      <c r="C63" s="175"/>
      <c r="D63" s="175"/>
      <c r="E63" s="175"/>
      <c r="F63" s="175"/>
      <c r="G63" s="175"/>
      <c r="H63" s="175"/>
      <c r="I63" s="69"/>
      <c r="J63" s="106">
        <f>J62-E62</f>
        <v>285592.90999999997</v>
      </c>
      <c r="K63" s="2" t="s">
        <v>143</v>
      </c>
      <c r="L63" s="69"/>
      <c r="P63" s="69"/>
      <c r="Q63" s="69"/>
    </row>
    <row r="64" spans="1:17" ht="15.75" customHeight="1" x14ac:dyDescent="0.25">
      <c r="A64" s="164" t="s">
        <v>11</v>
      </c>
      <c r="B64" s="164"/>
      <c r="C64" s="164"/>
      <c r="D64" s="164"/>
      <c r="E64" s="64">
        <f>SUM(E65:E80)</f>
        <v>3926040.75</v>
      </c>
      <c r="F64" s="64">
        <f>SUM(F65:F80)</f>
        <v>3729738.7100000004</v>
      </c>
      <c r="G64" s="64">
        <f t="shared" ref="G64:H64" si="7">SUM(G65:G80)</f>
        <v>196302.04</v>
      </c>
      <c r="H64" s="64">
        <f t="shared" si="7"/>
        <v>0</v>
      </c>
      <c r="I64" s="69">
        <f t="shared" ref="I64:I91" si="8">F64+G64+H64-E64</f>
        <v>0</v>
      </c>
      <c r="K64" s="80"/>
      <c r="L64" s="80"/>
      <c r="P64" s="69"/>
      <c r="Q64" s="69"/>
    </row>
    <row r="65" spans="1:17" ht="15.75" x14ac:dyDescent="0.25">
      <c r="A65" s="10">
        <v>1</v>
      </c>
      <c r="B65" s="71">
        <v>1</v>
      </c>
      <c r="C65" s="53" t="s">
        <v>35</v>
      </c>
      <c r="D65" s="61" t="s">
        <v>144</v>
      </c>
      <c r="E65" s="65">
        <v>186560</v>
      </c>
      <c r="F65" s="65">
        <f t="shared" ref="F65:F80" si="9">ROUND(E65*0.95,2)</f>
        <v>177232</v>
      </c>
      <c r="G65" s="65">
        <f t="shared" ref="G65:G80" si="10">ROUND(E65*0.05,2)</f>
        <v>9328</v>
      </c>
      <c r="H65" s="65">
        <v>0</v>
      </c>
      <c r="I65" s="69">
        <f t="shared" si="8"/>
        <v>0</v>
      </c>
      <c r="K65" s="69"/>
      <c r="L65" s="69"/>
      <c r="P65" s="69"/>
      <c r="Q65" s="69"/>
    </row>
    <row r="66" spans="1:17" s="2" customFormat="1" ht="15.75" x14ac:dyDescent="0.25">
      <c r="A66" s="10">
        <v>2</v>
      </c>
      <c r="B66" s="73">
        <v>3</v>
      </c>
      <c r="C66" s="53" t="s">
        <v>92</v>
      </c>
      <c r="D66" s="61" t="s">
        <v>145</v>
      </c>
      <c r="E66" s="65">
        <v>60560</v>
      </c>
      <c r="F66" s="65">
        <f t="shared" si="9"/>
        <v>57532</v>
      </c>
      <c r="G66" s="65">
        <f t="shared" si="10"/>
        <v>3028</v>
      </c>
      <c r="H66" s="65">
        <v>0</v>
      </c>
      <c r="I66" s="69">
        <f t="shared" si="8"/>
        <v>0</v>
      </c>
      <c r="J66" s="8"/>
      <c r="K66" s="69"/>
      <c r="L66" s="69"/>
      <c r="P66" s="69"/>
      <c r="Q66" s="69"/>
    </row>
    <row r="67" spans="1:17" ht="15.75" x14ac:dyDescent="0.25">
      <c r="A67" s="10">
        <v>3</v>
      </c>
      <c r="B67" s="73">
        <v>9</v>
      </c>
      <c r="C67" s="53" t="s">
        <v>18</v>
      </c>
      <c r="D67" s="61" t="s">
        <v>147</v>
      </c>
      <c r="E67" s="65">
        <v>31992</v>
      </c>
      <c r="F67" s="65">
        <f t="shared" si="9"/>
        <v>30392.400000000001</v>
      </c>
      <c r="G67" s="65">
        <f t="shared" si="10"/>
        <v>1599.6</v>
      </c>
      <c r="H67" s="65">
        <v>0</v>
      </c>
      <c r="I67" s="69">
        <f t="shared" si="8"/>
        <v>0</v>
      </c>
      <c r="K67" s="69"/>
      <c r="L67" s="69"/>
      <c r="P67" s="69"/>
      <c r="Q67" s="69"/>
    </row>
    <row r="68" spans="1:17" ht="15.75" x14ac:dyDescent="0.25">
      <c r="A68" s="10">
        <v>4</v>
      </c>
      <c r="B68" s="71">
        <v>10</v>
      </c>
      <c r="C68" s="53" t="s">
        <v>91</v>
      </c>
      <c r="D68" s="61" t="s">
        <v>144</v>
      </c>
      <c r="E68" s="65">
        <v>500000</v>
      </c>
      <c r="F68" s="65">
        <f t="shared" si="9"/>
        <v>475000</v>
      </c>
      <c r="G68" s="65">
        <f t="shared" si="10"/>
        <v>25000</v>
      </c>
      <c r="H68" s="65">
        <v>0</v>
      </c>
      <c r="I68" s="69">
        <f t="shared" si="8"/>
        <v>0</v>
      </c>
      <c r="K68" s="69"/>
      <c r="L68" s="69"/>
      <c r="P68" s="69"/>
      <c r="Q68" s="69"/>
    </row>
    <row r="69" spans="1:17" ht="15.75" x14ac:dyDescent="0.25">
      <c r="A69" s="10">
        <v>5</v>
      </c>
      <c r="B69" s="73">
        <v>15</v>
      </c>
      <c r="C69" s="53" t="s">
        <v>85</v>
      </c>
      <c r="D69" s="61" t="s">
        <v>149</v>
      </c>
      <c r="E69" s="65">
        <v>101615.23</v>
      </c>
      <c r="F69" s="65">
        <f t="shared" si="9"/>
        <v>96534.47</v>
      </c>
      <c r="G69" s="65">
        <f t="shared" si="10"/>
        <v>5080.76</v>
      </c>
      <c r="H69" s="65">
        <v>0</v>
      </c>
      <c r="I69" s="69">
        <f t="shared" si="8"/>
        <v>0</v>
      </c>
      <c r="K69" s="69"/>
      <c r="L69" s="69"/>
      <c r="P69" s="69"/>
      <c r="Q69" s="69"/>
    </row>
    <row r="70" spans="1:17" ht="15.75" x14ac:dyDescent="0.25">
      <c r="A70" s="10">
        <v>6</v>
      </c>
      <c r="B70" s="73">
        <v>16</v>
      </c>
      <c r="C70" s="53" t="s">
        <v>96</v>
      </c>
      <c r="D70" s="61" t="s">
        <v>151</v>
      </c>
      <c r="E70" s="65">
        <v>500000</v>
      </c>
      <c r="F70" s="65">
        <f t="shared" si="9"/>
        <v>475000</v>
      </c>
      <c r="G70" s="65">
        <f t="shared" si="10"/>
        <v>25000</v>
      </c>
      <c r="H70" s="65">
        <v>0</v>
      </c>
      <c r="I70" s="69">
        <f t="shared" si="8"/>
        <v>0</v>
      </c>
      <c r="K70" s="69"/>
      <c r="L70" s="69"/>
      <c r="P70" s="69"/>
      <c r="Q70" s="69"/>
    </row>
    <row r="71" spans="1:17" ht="15.75" x14ac:dyDescent="0.25">
      <c r="A71" s="10">
        <v>7</v>
      </c>
      <c r="B71" s="73">
        <v>20</v>
      </c>
      <c r="C71" s="53" t="s">
        <v>21</v>
      </c>
      <c r="D71" s="61" t="s">
        <v>153</v>
      </c>
      <c r="E71" s="65">
        <v>48100</v>
      </c>
      <c r="F71" s="65">
        <f t="shared" si="9"/>
        <v>45695</v>
      </c>
      <c r="G71" s="65">
        <f t="shared" si="10"/>
        <v>2405</v>
      </c>
      <c r="H71" s="65">
        <v>0</v>
      </c>
      <c r="I71" s="69">
        <f t="shared" si="8"/>
        <v>0</v>
      </c>
      <c r="K71" s="69"/>
      <c r="L71" s="69"/>
      <c r="P71" s="69"/>
      <c r="Q71" s="69"/>
    </row>
    <row r="72" spans="1:17" ht="15.75" x14ac:dyDescent="0.25">
      <c r="A72" s="10">
        <v>8</v>
      </c>
      <c r="B72" s="73">
        <v>22</v>
      </c>
      <c r="C72" s="53" t="s">
        <v>98</v>
      </c>
      <c r="D72" s="61" t="s">
        <v>154</v>
      </c>
      <c r="E72" s="65">
        <v>500000</v>
      </c>
      <c r="F72" s="65">
        <f t="shared" si="9"/>
        <v>475000</v>
      </c>
      <c r="G72" s="65">
        <f t="shared" si="10"/>
        <v>25000</v>
      </c>
      <c r="H72" s="65">
        <v>0</v>
      </c>
      <c r="I72" s="69">
        <f t="shared" si="8"/>
        <v>0</v>
      </c>
      <c r="K72" s="69"/>
      <c r="L72" s="69"/>
      <c r="P72" s="69"/>
      <c r="Q72" s="69"/>
    </row>
    <row r="73" spans="1:17" ht="15.75" x14ac:dyDescent="0.25">
      <c r="A73" s="10">
        <v>9</v>
      </c>
      <c r="B73" s="73">
        <v>25</v>
      </c>
      <c r="C73" s="53" t="s">
        <v>25</v>
      </c>
      <c r="D73" s="61" t="s">
        <v>144</v>
      </c>
      <c r="E73" s="65">
        <v>493504</v>
      </c>
      <c r="F73" s="65">
        <f t="shared" si="9"/>
        <v>468828.8</v>
      </c>
      <c r="G73" s="65">
        <f t="shared" si="10"/>
        <v>24675.200000000001</v>
      </c>
      <c r="H73" s="65">
        <v>0</v>
      </c>
      <c r="I73" s="69">
        <f t="shared" si="8"/>
        <v>0</v>
      </c>
      <c r="K73" s="69"/>
      <c r="L73" s="69"/>
      <c r="P73" s="69"/>
      <c r="Q73" s="69"/>
    </row>
    <row r="74" spans="1:17" ht="15.75" x14ac:dyDescent="0.25">
      <c r="A74" s="10">
        <v>10</v>
      </c>
      <c r="B74" s="73">
        <v>29</v>
      </c>
      <c r="C74" s="53" t="s">
        <v>100</v>
      </c>
      <c r="D74" s="61" t="s">
        <v>156</v>
      </c>
      <c r="E74" s="65">
        <v>179296</v>
      </c>
      <c r="F74" s="65">
        <f t="shared" si="9"/>
        <v>170331.2</v>
      </c>
      <c r="G74" s="65">
        <f t="shared" si="10"/>
        <v>8964.7999999999993</v>
      </c>
      <c r="H74" s="65">
        <v>0</v>
      </c>
      <c r="I74" s="69">
        <f t="shared" si="8"/>
        <v>0</v>
      </c>
      <c r="K74" s="69"/>
      <c r="L74" s="69"/>
      <c r="P74" s="69"/>
      <c r="Q74" s="69"/>
    </row>
    <row r="75" spans="1:17" ht="15.75" x14ac:dyDescent="0.25">
      <c r="A75" s="10">
        <v>11</v>
      </c>
      <c r="B75" s="73">
        <v>32</v>
      </c>
      <c r="C75" s="53" t="s">
        <v>19</v>
      </c>
      <c r="D75" s="61" t="s">
        <v>155</v>
      </c>
      <c r="E75" s="65">
        <v>407646.4</v>
      </c>
      <c r="F75" s="65">
        <f t="shared" si="9"/>
        <v>387264.08</v>
      </c>
      <c r="G75" s="65">
        <f t="shared" si="10"/>
        <v>20382.32</v>
      </c>
      <c r="H75" s="65">
        <v>0</v>
      </c>
      <c r="I75" s="69">
        <f t="shared" si="8"/>
        <v>0</v>
      </c>
      <c r="K75" s="69"/>
      <c r="L75" s="69"/>
      <c r="P75" s="69"/>
      <c r="Q75" s="69"/>
    </row>
    <row r="76" spans="1:17" ht="15.75" x14ac:dyDescent="0.25">
      <c r="A76" s="10">
        <v>12</v>
      </c>
      <c r="B76" s="73">
        <v>34</v>
      </c>
      <c r="C76" s="53" t="s">
        <v>101</v>
      </c>
      <c r="D76" s="61" t="s">
        <v>154</v>
      </c>
      <c r="E76" s="65">
        <v>33304</v>
      </c>
      <c r="F76" s="68">
        <f t="shared" si="9"/>
        <v>31638.799999999999</v>
      </c>
      <c r="G76" s="68">
        <f t="shared" si="10"/>
        <v>1665.2</v>
      </c>
      <c r="H76" s="68">
        <v>0</v>
      </c>
      <c r="I76" s="69">
        <f t="shared" si="8"/>
        <v>0</v>
      </c>
      <c r="J76" s="9"/>
      <c r="K76" s="69"/>
      <c r="L76" s="69"/>
      <c r="P76" s="69"/>
      <c r="Q76" s="69"/>
    </row>
    <row r="77" spans="1:17" ht="15.75" x14ac:dyDescent="0.25">
      <c r="A77" s="10">
        <v>13</v>
      </c>
      <c r="B77" s="73">
        <v>43</v>
      </c>
      <c r="C77" s="53" t="s">
        <v>104</v>
      </c>
      <c r="D77" s="61" t="s">
        <v>155</v>
      </c>
      <c r="E77" s="65">
        <v>183529.52</v>
      </c>
      <c r="F77" s="65">
        <f t="shared" si="9"/>
        <v>174353.04</v>
      </c>
      <c r="G77" s="65">
        <f t="shared" si="10"/>
        <v>9176.48</v>
      </c>
      <c r="H77" s="65">
        <v>0</v>
      </c>
      <c r="I77" s="69">
        <f t="shared" si="8"/>
        <v>0</v>
      </c>
      <c r="K77" s="69"/>
      <c r="L77" s="69"/>
      <c r="P77" s="69"/>
      <c r="Q77" s="69"/>
    </row>
    <row r="78" spans="1:17" ht="15.75" x14ac:dyDescent="0.25">
      <c r="A78" s="10">
        <v>14</v>
      </c>
      <c r="B78" s="71">
        <v>58</v>
      </c>
      <c r="C78" s="53" t="s">
        <v>87</v>
      </c>
      <c r="D78" s="61" t="s">
        <v>144</v>
      </c>
      <c r="E78" s="65">
        <v>493999.2</v>
      </c>
      <c r="F78" s="65">
        <f t="shared" si="9"/>
        <v>469299.24</v>
      </c>
      <c r="G78" s="65">
        <f t="shared" si="10"/>
        <v>24699.96</v>
      </c>
      <c r="H78" s="65">
        <v>0</v>
      </c>
      <c r="I78" s="69">
        <f t="shared" si="8"/>
        <v>0</v>
      </c>
      <c r="K78" s="69"/>
      <c r="L78" s="69"/>
      <c r="P78" s="69"/>
      <c r="Q78" s="69"/>
    </row>
    <row r="79" spans="1:17" ht="15.75" x14ac:dyDescent="0.25">
      <c r="A79" s="10">
        <v>15</v>
      </c>
      <c r="B79" s="73">
        <v>82</v>
      </c>
      <c r="C79" s="53" t="s">
        <v>114</v>
      </c>
      <c r="D79" s="61" t="s">
        <v>155</v>
      </c>
      <c r="E79" s="65">
        <v>38360</v>
      </c>
      <c r="F79" s="65">
        <f t="shared" si="9"/>
        <v>36442</v>
      </c>
      <c r="G79" s="65">
        <f t="shared" si="10"/>
        <v>1918</v>
      </c>
      <c r="H79" s="65">
        <v>0</v>
      </c>
      <c r="I79" s="69">
        <f t="shared" ref="I79" si="11">F79+G79+H79-E79</f>
        <v>0</v>
      </c>
      <c r="K79" s="69"/>
      <c r="L79" s="69"/>
      <c r="P79" s="69"/>
      <c r="Q79" s="69"/>
    </row>
    <row r="80" spans="1:17" ht="15.75" x14ac:dyDescent="0.25">
      <c r="A80" s="10">
        <v>16</v>
      </c>
      <c r="B80" s="71">
        <v>99</v>
      </c>
      <c r="C80" s="53" t="s">
        <v>29</v>
      </c>
      <c r="D80" s="61" t="s">
        <v>154</v>
      </c>
      <c r="E80" s="65">
        <v>167574.39999999999</v>
      </c>
      <c r="F80" s="65">
        <f t="shared" si="9"/>
        <v>159195.68</v>
      </c>
      <c r="G80" s="65">
        <f t="shared" si="10"/>
        <v>8378.7199999999993</v>
      </c>
      <c r="H80" s="65">
        <v>0</v>
      </c>
      <c r="I80" s="69">
        <f t="shared" si="8"/>
        <v>0</v>
      </c>
      <c r="K80" s="69"/>
      <c r="L80" s="69"/>
      <c r="P80" s="69"/>
      <c r="Q80" s="69"/>
    </row>
    <row r="81" spans="1:17" ht="15.75" x14ac:dyDescent="0.25">
      <c r="A81" s="165" t="s">
        <v>13</v>
      </c>
      <c r="B81" s="166"/>
      <c r="C81" s="166"/>
      <c r="D81" s="166"/>
      <c r="E81" s="166"/>
      <c r="F81" s="166"/>
      <c r="G81" s="166"/>
      <c r="H81" s="167"/>
      <c r="I81" s="69"/>
      <c r="K81" s="69"/>
      <c r="L81" s="69"/>
      <c r="P81" s="69"/>
      <c r="Q81" s="69"/>
    </row>
    <row r="82" spans="1:17" ht="15.75" x14ac:dyDescent="0.25">
      <c r="A82" s="168" t="s">
        <v>11</v>
      </c>
      <c r="B82" s="169"/>
      <c r="C82" s="169"/>
      <c r="D82" s="170"/>
      <c r="E82" s="64">
        <f>SUM(E83:E92)</f>
        <v>2767000</v>
      </c>
      <c r="F82" s="64">
        <f>SUM(F83:F92)</f>
        <v>0</v>
      </c>
      <c r="G82" s="64">
        <f t="shared" ref="G82:H82" si="12">SUM(G83:G92)</f>
        <v>0</v>
      </c>
      <c r="H82" s="64">
        <f t="shared" si="12"/>
        <v>2767000</v>
      </c>
      <c r="I82" s="69">
        <f t="shared" si="8"/>
        <v>0</v>
      </c>
      <c r="K82" s="80"/>
      <c r="L82" s="80"/>
      <c r="M82" s="80"/>
      <c r="P82" s="69"/>
      <c r="Q82" s="69"/>
    </row>
    <row r="83" spans="1:17" ht="15.75" x14ac:dyDescent="0.25">
      <c r="A83" s="56">
        <v>1</v>
      </c>
      <c r="B83" s="74">
        <v>22</v>
      </c>
      <c r="C83" s="3" t="s">
        <v>98</v>
      </c>
      <c r="D83" s="61" t="s">
        <v>154</v>
      </c>
      <c r="E83" s="65">
        <v>261896.51</v>
      </c>
      <c r="F83" s="65">
        <v>0</v>
      </c>
      <c r="G83" s="65">
        <v>0</v>
      </c>
      <c r="H83" s="65">
        <v>261896.51</v>
      </c>
      <c r="I83" s="69">
        <f t="shared" si="8"/>
        <v>0</v>
      </c>
      <c r="K83" s="69"/>
      <c r="L83" s="69"/>
      <c r="M83" s="69"/>
      <c r="P83" s="69"/>
      <c r="Q83" s="69"/>
    </row>
    <row r="84" spans="1:17" ht="15.75" x14ac:dyDescent="0.25">
      <c r="A84" s="56">
        <v>2</v>
      </c>
      <c r="B84" s="73">
        <v>28</v>
      </c>
      <c r="C84" s="3" t="s">
        <v>99</v>
      </c>
      <c r="D84" s="61" t="s">
        <v>155</v>
      </c>
      <c r="E84" s="65">
        <v>300000</v>
      </c>
      <c r="F84" s="65">
        <v>0</v>
      </c>
      <c r="G84" s="65">
        <v>0</v>
      </c>
      <c r="H84" s="65">
        <v>300000</v>
      </c>
      <c r="I84" s="69">
        <f t="shared" si="8"/>
        <v>0</v>
      </c>
      <c r="K84" s="69"/>
      <c r="L84" s="69"/>
      <c r="M84" s="69"/>
      <c r="P84" s="69"/>
      <c r="Q84" s="69"/>
    </row>
    <row r="85" spans="1:17" ht="15.75" x14ac:dyDescent="0.25">
      <c r="A85" s="56">
        <v>3</v>
      </c>
      <c r="B85" s="71">
        <v>30</v>
      </c>
      <c r="C85" s="3" t="s">
        <v>134</v>
      </c>
      <c r="D85" s="61" t="s">
        <v>173</v>
      </c>
      <c r="E85" s="65">
        <v>297187.5</v>
      </c>
      <c r="F85" s="65">
        <v>0</v>
      </c>
      <c r="G85" s="65">
        <v>0</v>
      </c>
      <c r="H85" s="65">
        <v>297187.5</v>
      </c>
      <c r="I85" s="69">
        <f t="shared" si="8"/>
        <v>0</v>
      </c>
      <c r="K85" s="69"/>
      <c r="L85" s="69"/>
      <c r="M85" s="69"/>
      <c r="P85" s="69"/>
      <c r="Q85" s="69"/>
    </row>
    <row r="86" spans="1:17" ht="15.75" x14ac:dyDescent="0.25">
      <c r="A86" s="56">
        <v>4</v>
      </c>
      <c r="B86" s="73">
        <v>32</v>
      </c>
      <c r="C86" s="3" t="s">
        <v>19</v>
      </c>
      <c r="D86" s="61" t="s">
        <v>155</v>
      </c>
      <c r="E86" s="65">
        <v>300000</v>
      </c>
      <c r="F86" s="65">
        <v>0</v>
      </c>
      <c r="G86" s="65">
        <v>0</v>
      </c>
      <c r="H86" s="65">
        <v>300000</v>
      </c>
      <c r="I86" s="69">
        <f t="shared" si="8"/>
        <v>0</v>
      </c>
      <c r="K86" s="69"/>
      <c r="L86" s="69"/>
      <c r="M86" s="69"/>
      <c r="P86" s="69"/>
      <c r="Q86" s="69"/>
    </row>
    <row r="87" spans="1:17" ht="15.75" x14ac:dyDescent="0.25">
      <c r="A87" s="56">
        <v>5</v>
      </c>
      <c r="B87" s="73">
        <v>34</v>
      </c>
      <c r="C87" s="3" t="s">
        <v>101</v>
      </c>
      <c r="D87" s="61" t="s">
        <v>154</v>
      </c>
      <c r="E87" s="65">
        <v>110363.77</v>
      </c>
      <c r="F87" s="65">
        <v>0</v>
      </c>
      <c r="G87" s="65">
        <v>0</v>
      </c>
      <c r="H87" s="65">
        <v>110363.77</v>
      </c>
      <c r="I87" s="69">
        <f t="shared" si="8"/>
        <v>0</v>
      </c>
      <c r="K87" s="69"/>
      <c r="L87" s="69"/>
      <c r="M87" s="69"/>
      <c r="P87" s="69"/>
      <c r="Q87" s="69"/>
    </row>
    <row r="88" spans="1:17" ht="15.75" x14ac:dyDescent="0.25">
      <c r="A88" s="56">
        <v>6</v>
      </c>
      <c r="B88" s="73">
        <v>35</v>
      </c>
      <c r="C88" s="3" t="s">
        <v>49</v>
      </c>
      <c r="D88" s="61" t="s">
        <v>155</v>
      </c>
      <c r="E88" s="65">
        <v>300000</v>
      </c>
      <c r="F88" s="65">
        <v>0</v>
      </c>
      <c r="G88" s="65">
        <v>0</v>
      </c>
      <c r="H88" s="65">
        <v>300000</v>
      </c>
      <c r="I88" s="69">
        <f t="shared" si="8"/>
        <v>0</v>
      </c>
      <c r="K88" s="69"/>
      <c r="L88" s="69"/>
      <c r="M88" s="69"/>
      <c r="P88" s="69"/>
      <c r="Q88" s="69"/>
    </row>
    <row r="89" spans="1:17" ht="15.75" x14ac:dyDescent="0.25">
      <c r="A89" s="56">
        <v>7</v>
      </c>
      <c r="B89" s="73">
        <v>43</v>
      </c>
      <c r="C89" s="3" t="s">
        <v>104</v>
      </c>
      <c r="D89" s="61" t="s">
        <v>155</v>
      </c>
      <c r="E89" s="65">
        <v>300000</v>
      </c>
      <c r="F89" s="65">
        <v>0</v>
      </c>
      <c r="G89" s="65">
        <v>0</v>
      </c>
      <c r="H89" s="65">
        <v>300000</v>
      </c>
      <c r="I89" s="69">
        <f t="shared" si="8"/>
        <v>0</v>
      </c>
      <c r="K89" s="69"/>
      <c r="L89" s="69"/>
      <c r="M89" s="69"/>
      <c r="P89" s="69"/>
      <c r="Q89" s="69"/>
    </row>
    <row r="90" spans="1:17" ht="15.75" x14ac:dyDescent="0.25">
      <c r="A90" s="56">
        <v>8</v>
      </c>
      <c r="B90" s="75">
        <v>45</v>
      </c>
      <c r="C90" s="3" t="s">
        <v>105</v>
      </c>
      <c r="D90" s="61" t="s">
        <v>160</v>
      </c>
      <c r="E90" s="66">
        <v>300000</v>
      </c>
      <c r="F90" s="68">
        <v>0</v>
      </c>
      <c r="G90" s="68">
        <v>0</v>
      </c>
      <c r="H90" s="68">
        <v>300000</v>
      </c>
      <c r="I90" s="69">
        <f>F90+G90+H90-E90</f>
        <v>0</v>
      </c>
      <c r="K90" s="69"/>
      <c r="L90" s="69"/>
      <c r="P90" s="69"/>
      <c r="Q90" s="69"/>
    </row>
    <row r="91" spans="1:17" ht="15.75" x14ac:dyDescent="0.25">
      <c r="A91" s="56">
        <v>9</v>
      </c>
      <c r="B91" s="73">
        <v>55</v>
      </c>
      <c r="C91" s="3" t="s">
        <v>23</v>
      </c>
      <c r="D91" s="61" t="s">
        <v>162</v>
      </c>
      <c r="E91" s="65">
        <v>300000</v>
      </c>
      <c r="F91" s="65">
        <v>0</v>
      </c>
      <c r="G91" s="65">
        <v>0</v>
      </c>
      <c r="H91" s="65">
        <v>300000</v>
      </c>
      <c r="I91" s="69">
        <f t="shared" si="8"/>
        <v>0</v>
      </c>
      <c r="K91" s="69"/>
      <c r="L91" s="69"/>
      <c r="M91" s="69"/>
      <c r="P91" s="69"/>
      <c r="Q91" s="69"/>
    </row>
    <row r="92" spans="1:17" ht="15.75" x14ac:dyDescent="0.25">
      <c r="A92" s="56">
        <v>10</v>
      </c>
      <c r="B92" s="73">
        <v>64</v>
      </c>
      <c r="C92" s="113" t="s">
        <v>33</v>
      </c>
      <c r="D92" s="61" t="s">
        <v>155</v>
      </c>
      <c r="E92" s="65">
        <v>297552.21999999997</v>
      </c>
      <c r="F92" s="65">
        <v>0</v>
      </c>
      <c r="G92" s="65">
        <v>0</v>
      </c>
      <c r="H92" s="114">
        <f>300000-2447.78</f>
        <v>297552.21999999997</v>
      </c>
      <c r="I92" s="69">
        <f>F92+G92+H92-E92</f>
        <v>0</v>
      </c>
      <c r="J92" s="70">
        <v>300000</v>
      </c>
      <c r="K92" s="8" t="s">
        <v>11</v>
      </c>
      <c r="L92" s="69"/>
      <c r="M92" s="69"/>
      <c r="P92" s="69"/>
      <c r="Q92" s="69"/>
    </row>
    <row r="93" spans="1:17" x14ac:dyDescent="0.25">
      <c r="J93" s="106">
        <f>J92-E92</f>
        <v>2447.7800000000279</v>
      </c>
      <c r="K93" s="2" t="s">
        <v>143</v>
      </c>
    </row>
    <row r="96" spans="1:17" x14ac:dyDescent="0.25">
      <c r="E96" s="8"/>
    </row>
    <row r="97" spans="1:17" x14ac:dyDescent="0.25">
      <c r="E97" s="8"/>
    </row>
    <row r="98" spans="1:17" x14ac:dyDescent="0.25">
      <c r="E98" s="8"/>
    </row>
    <row r="99" spans="1:17" s="9" customFormat="1" x14ac:dyDescent="0.25">
      <c r="A99" s="8"/>
      <c r="B99" s="8"/>
      <c r="C99" s="8"/>
      <c r="D99" s="8"/>
      <c r="E99" s="8"/>
      <c r="I99" s="8"/>
      <c r="J99" s="8"/>
      <c r="K99" s="8"/>
      <c r="L99" s="8"/>
      <c r="M99" s="8"/>
      <c r="N99" s="8"/>
      <c r="O99" s="8"/>
      <c r="P99" s="8"/>
      <c r="Q99" s="8"/>
    </row>
    <row r="100" spans="1:17" s="9" customFormat="1" x14ac:dyDescent="0.25">
      <c r="A100" s="8"/>
      <c r="B100" s="8"/>
      <c r="C100" s="8"/>
      <c r="D100" s="8"/>
      <c r="E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s="9" customFormat="1" x14ac:dyDescent="0.25">
      <c r="A101" s="8"/>
      <c r="B101" s="8"/>
      <c r="C101" s="8"/>
      <c r="D101" s="8"/>
      <c r="E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s="9" customFormat="1" x14ac:dyDescent="0.25">
      <c r="A102" s="8"/>
      <c r="B102" s="8"/>
      <c r="C102" s="8"/>
      <c r="D102" s="8"/>
      <c r="E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5">
      <c r="E103" s="8"/>
    </row>
    <row r="104" spans="1:17" x14ac:dyDescent="0.25">
      <c r="E104" s="8"/>
    </row>
    <row r="105" spans="1:17" x14ac:dyDescent="0.25">
      <c r="E105" s="8"/>
    </row>
    <row r="106" spans="1:17" x14ac:dyDescent="0.25">
      <c r="E106" s="8"/>
    </row>
  </sheetData>
  <mergeCells count="10">
    <mergeCell ref="A64:D64"/>
    <mergeCell ref="A81:H81"/>
    <mergeCell ref="A82:D82"/>
    <mergeCell ref="J1:K1"/>
    <mergeCell ref="A2:D2"/>
    <mergeCell ref="A3:D3"/>
    <mergeCell ref="A4:D4"/>
    <mergeCell ref="A5:H5"/>
    <mergeCell ref="A6:D6"/>
    <mergeCell ref="A63:H63"/>
  </mergeCells>
  <pageMargins left="0.70866141732283472" right="0.70866141732283472" top="0.74803149606299213" bottom="0.74803149606299213" header="0.31496062992125984" footer="0.31496062992125984"/>
  <pageSetup paperSize="9" scale="6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ОПП</vt:lpstr>
      <vt:lpstr>Приложение 1</vt:lpstr>
      <vt:lpstr>Список 1 потока</vt:lpstr>
      <vt:lpstr>ФП АК_1 пот_03.04-02.05</vt:lpstr>
      <vt:lpstr>ОПП!Область_печати</vt:lpstr>
      <vt:lpstr>'Приложение 1'!Область_печати</vt:lpstr>
      <vt:lpstr>'Список 1 потока'!Область_печати</vt:lpstr>
      <vt:lpstr>'ФП АК_1 пот_03.04-02.05'!Область_печати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Будаева Лариса Владимировна</dc:creator>
  <cp:lastModifiedBy>Кузьминых Анастасия Александровна</cp:lastModifiedBy>
  <cp:lastPrinted>2024-11-26T07:35:12Z</cp:lastPrinted>
  <dcterms:created xsi:type="dcterms:W3CDTF">2023-02-27T11:35:09Z</dcterms:created>
  <dcterms:modified xsi:type="dcterms:W3CDTF">2025-10-15T10:29:06Z</dcterms:modified>
</cp:coreProperties>
</file>