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0" windowWidth="15132" windowHeight="6936" activeTab="1"/>
  </bookViews>
  <sheets>
    <sheet name="доходы" sheetId="3" r:id="rId1"/>
    <sheet name="расходы" sheetId="4" r:id="rId2"/>
  </sheets>
  <definedNames>
    <definedName name="Z_953F6272_BCBA_4E2A_B324_315CAA91D0DC_.wvu.Rows" localSheetId="0" hidden="1">доходы!$38:$38,доходы!#REF!,доходы!#REF!,доходы!#REF!,доходы!#REF!,доходы!#REF!</definedName>
    <definedName name="Z_B47CF732_6E85_4D8F_B03C_89DA2ED89ADF_.wvu.Cols" localSheetId="0" hidden="1">доходы!#REF!</definedName>
    <definedName name="Z_C425BA00_210C_48C2_AB7C_A6B940491DCD_.wvu.Rows" localSheetId="0" hidden="1">доходы!$38:$38,доходы!#REF!,доходы!#REF!,доходы!#REF!,доходы!#REF!,доходы!#REF!</definedName>
    <definedName name="_xlnm.Print_Titles" localSheetId="0">доходы!$5:$6</definedName>
  </definedNames>
  <calcPr calcId="145621"/>
  <customWorkbookViews>
    <customWorkbookView name="Ситникова  - Личное представление" guid="{C425BA00-210C-48C2-AB7C-A6B940491DCD}" mergeInterval="0" personalView="1" maximized="1" windowWidth="1020" windowHeight="560" activeSheetId="1" showStatusbar="0"/>
    <customWorkbookView name="Данилова Татьяна Ивановна - Личное представление" guid="{953F6272-BCBA-4E2A-B324-315CAA91D0DC}" mergeInterval="0" personalView="1" maximized="1" xWindow="1" yWindow="1" windowWidth="1280" windowHeight="830" activeSheetId="1" showFormulaBar="0"/>
    <customWorkbookView name="Парамонова Оксана Борисовна - Личное представление" guid="{B47CF732-6E85-4D8F-B03C-89DA2ED89ADF}" mergeInterval="0" personalView="1" maximized="1" xWindow="1" yWindow="1" windowWidth="1280" windowHeight="723" activeSheetId="1"/>
  </customWorkbookViews>
  <fileRecoveryPr autoRecover="0"/>
</workbook>
</file>

<file path=xl/calcChain.xml><?xml version="1.0" encoding="utf-8"?>
<calcChain xmlns="http://schemas.openxmlformats.org/spreadsheetml/2006/main">
  <c r="M56" i="4" l="1"/>
  <c r="K56" i="4"/>
  <c r="E56" i="4"/>
  <c r="N56" i="4" s="1"/>
  <c r="M55" i="4"/>
  <c r="L55" i="4"/>
  <c r="K55" i="4"/>
  <c r="J55" i="4"/>
  <c r="I55" i="4"/>
  <c r="H55" i="4"/>
  <c r="G55" i="4"/>
  <c r="F55" i="4"/>
  <c r="E55" i="4"/>
  <c r="N55" i="4" s="1"/>
  <c r="D55" i="4"/>
  <c r="O54" i="4"/>
  <c r="M54" i="4"/>
  <c r="K54" i="4"/>
  <c r="E54" i="4"/>
  <c r="N54" i="4" s="1"/>
  <c r="N53" i="4"/>
  <c r="M53" i="4"/>
  <c r="K53" i="4"/>
  <c r="E53" i="4"/>
  <c r="E52" i="4" s="1"/>
  <c r="L52" i="4"/>
  <c r="O52" i="4" s="1"/>
  <c r="K52" i="4"/>
  <c r="J52" i="4"/>
  <c r="M52" i="4" s="1"/>
  <c r="I52" i="4"/>
  <c r="H52" i="4"/>
  <c r="G52" i="4"/>
  <c r="F52" i="4"/>
  <c r="D52" i="4"/>
  <c r="Q51" i="4"/>
  <c r="P51" i="4"/>
  <c r="M51" i="4"/>
  <c r="K51" i="4"/>
  <c r="N51" i="4" s="1"/>
  <c r="H51" i="4"/>
  <c r="G51" i="4"/>
  <c r="E51" i="4"/>
  <c r="Q50" i="4"/>
  <c r="P50" i="4"/>
  <c r="M50" i="4"/>
  <c r="K50" i="4"/>
  <c r="N50" i="4" s="1"/>
  <c r="H50" i="4"/>
  <c r="G50" i="4"/>
  <c r="E50" i="4"/>
  <c r="Q49" i="4"/>
  <c r="P49" i="4"/>
  <c r="M49" i="4"/>
  <c r="K49" i="4"/>
  <c r="N49" i="4" s="1"/>
  <c r="H49" i="4"/>
  <c r="G49" i="4"/>
  <c r="E49" i="4"/>
  <c r="Q48" i="4"/>
  <c r="P48" i="4"/>
  <c r="M48" i="4"/>
  <c r="K48" i="4"/>
  <c r="K47" i="4" s="1"/>
  <c r="H48" i="4"/>
  <c r="G48" i="4"/>
  <c r="E48" i="4"/>
  <c r="E47" i="4" s="1"/>
  <c r="L47" i="4"/>
  <c r="L57" i="4" s="1"/>
  <c r="J47" i="4"/>
  <c r="I47" i="4"/>
  <c r="I57" i="4" s="1"/>
  <c r="H47" i="4"/>
  <c r="G47" i="4"/>
  <c r="F47" i="4"/>
  <c r="D47" i="4"/>
  <c r="D57" i="4" s="1"/>
  <c r="P46" i="4"/>
  <c r="O46" i="4"/>
  <c r="N46" i="4"/>
  <c r="M46" i="4"/>
  <c r="K46" i="4"/>
  <c r="I46" i="4"/>
  <c r="R46" i="4" s="1"/>
  <c r="G46" i="4"/>
  <c r="E46" i="4"/>
  <c r="Q45" i="4"/>
  <c r="P45" i="4"/>
  <c r="M45" i="4"/>
  <c r="K45" i="4"/>
  <c r="N45" i="4" s="1"/>
  <c r="H45" i="4"/>
  <c r="G45" i="4"/>
  <c r="E45" i="4"/>
  <c r="Q44" i="4"/>
  <c r="P44" i="4"/>
  <c r="M44" i="4"/>
  <c r="K44" i="4"/>
  <c r="N44" i="4" s="1"/>
  <c r="H44" i="4"/>
  <c r="G44" i="4"/>
  <c r="E44" i="4"/>
  <c r="Q43" i="4"/>
  <c r="P43" i="4"/>
  <c r="M43" i="4"/>
  <c r="K43" i="4"/>
  <c r="N43" i="4" s="1"/>
  <c r="H43" i="4"/>
  <c r="G43" i="4"/>
  <c r="E43" i="4"/>
  <c r="Q42" i="4"/>
  <c r="P42" i="4"/>
  <c r="M42" i="4"/>
  <c r="K42" i="4"/>
  <c r="N42" i="4" s="1"/>
  <c r="H42" i="4"/>
  <c r="G42" i="4"/>
  <c r="E42" i="4"/>
  <c r="Q41" i="4"/>
  <c r="P41" i="4"/>
  <c r="M41" i="4"/>
  <c r="K41" i="4"/>
  <c r="N41" i="4" s="1"/>
  <c r="H41" i="4"/>
  <c r="G41" i="4"/>
  <c r="E41" i="4"/>
  <c r="E40" i="4" s="1"/>
  <c r="L40" i="4"/>
  <c r="K40" i="4"/>
  <c r="N40" i="4" s="1"/>
  <c r="J40" i="4"/>
  <c r="J57" i="4" s="1"/>
  <c r="I40" i="4"/>
  <c r="R40" i="4" s="1"/>
  <c r="G40" i="4"/>
  <c r="F40" i="4"/>
  <c r="O40" i="4" s="1"/>
  <c r="D40" i="4"/>
  <c r="Q39" i="4"/>
  <c r="P39" i="4"/>
  <c r="N39" i="4"/>
  <c r="M39" i="4"/>
  <c r="K39" i="4"/>
  <c r="H39" i="4"/>
  <c r="G39" i="4"/>
  <c r="E39" i="4"/>
  <c r="R38" i="4"/>
  <c r="P38" i="4"/>
  <c r="O38" i="4"/>
  <c r="M38" i="4"/>
  <c r="K38" i="4"/>
  <c r="I38" i="4"/>
  <c r="G38" i="4"/>
  <c r="H38" i="4" s="1"/>
  <c r="E38" i="4"/>
  <c r="E37" i="4" s="1"/>
  <c r="L37" i="4"/>
  <c r="O37" i="4" s="1"/>
  <c r="K37" i="4"/>
  <c r="N37" i="4" s="1"/>
  <c r="J37" i="4"/>
  <c r="M37" i="4" s="1"/>
  <c r="I37" i="4"/>
  <c r="F37" i="4"/>
  <c r="D37" i="4"/>
  <c r="Q36" i="4"/>
  <c r="P36" i="4"/>
  <c r="M36" i="4"/>
  <c r="K36" i="4"/>
  <c r="N36" i="4" s="1"/>
  <c r="H36" i="4"/>
  <c r="G36" i="4"/>
  <c r="E36" i="4"/>
  <c r="Q35" i="4"/>
  <c r="P35" i="4"/>
  <c r="M35" i="4"/>
  <c r="K35" i="4"/>
  <c r="N35" i="4" s="1"/>
  <c r="H35" i="4"/>
  <c r="G35" i="4"/>
  <c r="E35" i="4"/>
  <c r="E32" i="4" s="1"/>
  <c r="R34" i="4"/>
  <c r="O34" i="4"/>
  <c r="N34" i="4"/>
  <c r="M34" i="4"/>
  <c r="K34" i="4"/>
  <c r="I34" i="4"/>
  <c r="G34" i="4"/>
  <c r="P34" i="4" s="1"/>
  <c r="E34" i="4"/>
  <c r="R33" i="4"/>
  <c r="O33" i="4"/>
  <c r="M33" i="4"/>
  <c r="K33" i="4"/>
  <c r="K32" i="4" s="1"/>
  <c r="I33" i="4"/>
  <c r="G33" i="4"/>
  <c r="P33" i="4" s="1"/>
  <c r="E33" i="4"/>
  <c r="O32" i="4"/>
  <c r="L32" i="4"/>
  <c r="R32" i="4" s="1"/>
  <c r="J32" i="4"/>
  <c r="I32" i="4"/>
  <c r="G32" i="4"/>
  <c r="P32" i="4" s="1"/>
  <c r="F32" i="4"/>
  <c r="D32" i="4"/>
  <c r="M32" i="4" s="1"/>
  <c r="P31" i="4"/>
  <c r="O31" i="4"/>
  <c r="N31" i="4"/>
  <c r="M31" i="4"/>
  <c r="K31" i="4"/>
  <c r="I31" i="4"/>
  <c r="R31" i="4" s="1"/>
  <c r="G31" i="4"/>
  <c r="E31" i="4"/>
  <c r="E30" i="4" s="1"/>
  <c r="L30" i="4"/>
  <c r="K30" i="4"/>
  <c r="J30" i="4"/>
  <c r="M30" i="4" s="1"/>
  <c r="P30" i="4" s="1"/>
  <c r="I30" i="4"/>
  <c r="G30" i="4"/>
  <c r="F30" i="4"/>
  <c r="O30" i="4" s="1"/>
  <c r="R30" i="4" s="1"/>
  <c r="D30" i="4"/>
  <c r="Q29" i="4"/>
  <c r="P29" i="4"/>
  <c r="N29" i="4"/>
  <c r="M29" i="4"/>
  <c r="H29" i="4"/>
  <c r="E29" i="4"/>
  <c r="P28" i="4"/>
  <c r="O28" i="4"/>
  <c r="N28" i="4"/>
  <c r="M28" i="4"/>
  <c r="K28" i="4"/>
  <c r="I28" i="4"/>
  <c r="R28" i="4" s="1"/>
  <c r="G28" i="4"/>
  <c r="E28" i="4"/>
  <c r="E25" i="4" s="1"/>
  <c r="R27" i="4"/>
  <c r="O27" i="4"/>
  <c r="N27" i="4"/>
  <c r="M27" i="4"/>
  <c r="K27" i="4"/>
  <c r="I27" i="4"/>
  <c r="G27" i="4"/>
  <c r="H27" i="4" s="1"/>
  <c r="Q27" i="4" s="1"/>
  <c r="E27" i="4"/>
  <c r="R26" i="4"/>
  <c r="O26" i="4"/>
  <c r="M26" i="4"/>
  <c r="K26" i="4"/>
  <c r="K25" i="4" s="1"/>
  <c r="I26" i="4"/>
  <c r="G26" i="4"/>
  <c r="P26" i="4" s="1"/>
  <c r="E26" i="4"/>
  <c r="O25" i="4"/>
  <c r="L25" i="4"/>
  <c r="R25" i="4" s="1"/>
  <c r="J25" i="4"/>
  <c r="I25" i="4"/>
  <c r="G25" i="4"/>
  <c r="P25" i="4" s="1"/>
  <c r="F25" i="4"/>
  <c r="D25" i="4"/>
  <c r="M25" i="4" s="1"/>
  <c r="M24" i="4"/>
  <c r="K24" i="4"/>
  <c r="G24" i="4"/>
  <c r="P24" i="4" s="1"/>
  <c r="E24" i="4"/>
  <c r="O23" i="4"/>
  <c r="M23" i="4"/>
  <c r="K23" i="4"/>
  <c r="N23" i="4" s="1"/>
  <c r="E23" i="4"/>
  <c r="N22" i="4"/>
  <c r="M22" i="4"/>
  <c r="K22" i="4"/>
  <c r="I22" i="4"/>
  <c r="I19" i="4" s="1"/>
  <c r="G22" i="4"/>
  <c r="H22" i="4" s="1"/>
  <c r="E22" i="4"/>
  <c r="M21" i="4"/>
  <c r="G21" i="4"/>
  <c r="H21" i="4" s="1"/>
  <c r="E21" i="4"/>
  <c r="N21" i="4" s="1"/>
  <c r="M20" i="4"/>
  <c r="E20" i="4"/>
  <c r="N20" i="4" s="1"/>
  <c r="M19" i="4"/>
  <c r="L19" i="4"/>
  <c r="J19" i="4"/>
  <c r="F19" i="4"/>
  <c r="O19" i="4" s="1"/>
  <c r="D19" i="4"/>
  <c r="M18" i="4"/>
  <c r="K18" i="4"/>
  <c r="N18" i="4" s="1"/>
  <c r="G18" i="4"/>
  <c r="H18" i="4" s="1"/>
  <c r="H15" i="4" s="1"/>
  <c r="E18" i="4"/>
  <c r="N17" i="4"/>
  <c r="M17" i="4"/>
  <c r="K17" i="4"/>
  <c r="E17" i="4"/>
  <c r="Q16" i="4"/>
  <c r="P16" i="4"/>
  <c r="N16" i="4"/>
  <c r="M16" i="4"/>
  <c r="K16" i="4"/>
  <c r="H16" i="4"/>
  <c r="G16" i="4"/>
  <c r="E16" i="4"/>
  <c r="L15" i="4"/>
  <c r="J15" i="4"/>
  <c r="I15" i="4"/>
  <c r="F15" i="4"/>
  <c r="F57" i="4" s="1"/>
  <c r="E15" i="4"/>
  <c r="D15" i="4"/>
  <c r="M15" i="4" s="1"/>
  <c r="R14" i="4"/>
  <c r="M14" i="4"/>
  <c r="K14" i="4"/>
  <c r="G14" i="4"/>
  <c r="P14" i="4" s="1"/>
  <c r="E14" i="4"/>
  <c r="N13" i="4"/>
  <c r="M13" i="4"/>
  <c r="H13" i="4"/>
  <c r="Q13" i="4" s="1"/>
  <c r="G13" i="4"/>
  <c r="P13" i="4" s="1"/>
  <c r="E13" i="4"/>
  <c r="M12" i="4"/>
  <c r="K12" i="4"/>
  <c r="N12" i="4" s="1"/>
  <c r="H12" i="4"/>
  <c r="G12" i="4"/>
  <c r="P12" i="4" s="1"/>
  <c r="E12" i="4"/>
  <c r="M11" i="4"/>
  <c r="K11" i="4"/>
  <c r="E11" i="4"/>
  <c r="N11" i="4" s="1"/>
  <c r="Q10" i="4"/>
  <c r="P10" i="4"/>
  <c r="M10" i="4"/>
  <c r="K10" i="4"/>
  <c r="N10" i="4" s="1"/>
  <c r="H10" i="4"/>
  <c r="G10" i="4"/>
  <c r="E10" i="4"/>
  <c r="Q9" i="4"/>
  <c r="P9" i="4"/>
  <c r="M9" i="4"/>
  <c r="K9" i="4"/>
  <c r="K8" i="4" s="1"/>
  <c r="H9" i="4"/>
  <c r="G9" i="4"/>
  <c r="E9" i="4"/>
  <c r="E8" i="4" s="1"/>
  <c r="L8" i="4"/>
  <c r="J8" i="4"/>
  <c r="I8" i="4"/>
  <c r="G8" i="4"/>
  <c r="P8" i="4" s="1"/>
  <c r="F8" i="4"/>
  <c r="D8" i="4"/>
  <c r="M8" i="4" s="1"/>
  <c r="H19" i="4" l="1"/>
  <c r="Q21" i="4"/>
  <c r="N52" i="4"/>
  <c r="Q14" i="4"/>
  <c r="N30" i="4"/>
  <c r="M57" i="4"/>
  <c r="G57" i="4"/>
  <c r="P57" i="4" s="1"/>
  <c r="Q47" i="4"/>
  <c r="N47" i="4"/>
  <c r="P19" i="4"/>
  <c r="N25" i="4"/>
  <c r="N8" i="4"/>
  <c r="H8" i="4"/>
  <c r="Q8" i="4" s="1"/>
  <c r="N32" i="4"/>
  <c r="R57" i="4"/>
  <c r="O57" i="4"/>
  <c r="Q24" i="4"/>
  <c r="Q38" i="4"/>
  <c r="H37" i="4"/>
  <c r="P47" i="4"/>
  <c r="H34" i="4"/>
  <c r="Q34" i="4" s="1"/>
  <c r="Q12" i="4"/>
  <c r="K15" i="4"/>
  <c r="P21" i="4"/>
  <c r="Q33" i="4"/>
  <c r="G37" i="4"/>
  <c r="P37" i="4" s="1"/>
  <c r="Q18" i="4"/>
  <c r="K19" i="4"/>
  <c r="P22" i="4"/>
  <c r="H26" i="4"/>
  <c r="H25" i="4" s="1"/>
  <c r="Q25" i="4" s="1"/>
  <c r="H33" i="4"/>
  <c r="N38" i="4"/>
  <c r="M47" i="4"/>
  <c r="E19" i="4"/>
  <c r="E57" i="4" s="1"/>
  <c r="G15" i="4"/>
  <c r="P15" i="4" s="1"/>
  <c r="P18" i="4"/>
  <c r="N9" i="4"/>
  <c r="H14" i="4"/>
  <c r="R22" i="4"/>
  <c r="H24" i="4"/>
  <c r="P27" i="4"/>
  <c r="Q37" i="4"/>
  <c r="P40" i="4"/>
  <c r="N48" i="4"/>
  <c r="N14" i="4"/>
  <c r="G19" i="4"/>
  <c r="N24" i="4"/>
  <c r="N26" i="4"/>
  <c r="N33" i="4"/>
  <c r="H28" i="4"/>
  <c r="Q28" i="4" s="1"/>
  <c r="H31" i="4"/>
  <c r="H30" i="4" s="1"/>
  <c r="M40" i="4"/>
  <c r="H46" i="4"/>
  <c r="H40" i="4" s="1"/>
  <c r="Q40" i="4" s="1"/>
  <c r="E7" i="3"/>
  <c r="E29" i="3"/>
  <c r="F36" i="3"/>
  <c r="G36" i="3"/>
  <c r="C29" i="3"/>
  <c r="Q46" i="4" l="1"/>
  <c r="Q19" i="4"/>
  <c r="N19" i="4"/>
  <c r="Q30" i="4"/>
  <c r="K57" i="4"/>
  <c r="Q26" i="4"/>
  <c r="H32" i="4"/>
  <c r="Q32" i="4" s="1"/>
  <c r="Q31" i="4"/>
  <c r="Q15" i="4"/>
  <c r="N15" i="4"/>
  <c r="D29" i="3"/>
  <c r="Q57" i="4" l="1"/>
  <c r="N57" i="4"/>
  <c r="H57" i="4"/>
  <c r="D41" i="3"/>
  <c r="G51" i="3" l="1"/>
  <c r="F51" i="3"/>
  <c r="F22" i="3" l="1"/>
  <c r="F20" i="3"/>
  <c r="F47" i="3"/>
  <c r="G47" i="3"/>
  <c r="G39" i="3"/>
  <c r="F39" i="3"/>
  <c r="G28" i="3"/>
  <c r="F28" i="3"/>
  <c r="F12" i="3"/>
  <c r="G45" i="3"/>
  <c r="G44" i="3"/>
  <c r="G43" i="3"/>
  <c r="G42" i="3"/>
  <c r="G38" i="3"/>
  <c r="G37" i="3"/>
  <c r="G35" i="3"/>
  <c r="G33" i="3"/>
  <c r="G30" i="3"/>
  <c r="G27" i="3"/>
  <c r="G25" i="3"/>
  <c r="G24" i="3"/>
  <c r="G23" i="3"/>
  <c r="G22" i="3"/>
  <c r="G21" i="3"/>
  <c r="G20" i="3"/>
  <c r="G17" i="3"/>
  <c r="G16" i="3"/>
  <c r="G15" i="3"/>
  <c r="G14" i="3"/>
  <c r="G12" i="3"/>
  <c r="G11" i="3"/>
  <c r="G10" i="3"/>
  <c r="G8" i="3"/>
  <c r="F45" i="3"/>
  <c r="F44" i="3"/>
  <c r="F43" i="3"/>
  <c r="F42" i="3"/>
  <c r="F38" i="3"/>
  <c r="F37" i="3"/>
  <c r="F35" i="3"/>
  <c r="F33" i="3"/>
  <c r="F30" i="3"/>
  <c r="F27" i="3"/>
  <c r="F25" i="3"/>
  <c r="F24" i="3"/>
  <c r="F23" i="3"/>
  <c r="F21" i="3"/>
  <c r="F17" i="3"/>
  <c r="F16" i="3"/>
  <c r="F15" i="3"/>
  <c r="F14" i="3"/>
  <c r="F11" i="3"/>
  <c r="F10" i="3"/>
  <c r="F8" i="3"/>
  <c r="E9" i="3"/>
  <c r="D9" i="3"/>
  <c r="E13" i="3"/>
  <c r="E19" i="3"/>
  <c r="E26" i="3"/>
  <c r="E41" i="3"/>
  <c r="E46" i="3"/>
  <c r="E48" i="3"/>
  <c r="E50" i="3"/>
  <c r="D13" i="3"/>
  <c r="D19" i="3"/>
  <c r="D26" i="3"/>
  <c r="D46" i="3"/>
  <c r="F46" i="3" s="1"/>
  <c r="D48" i="3"/>
  <c r="D50" i="3"/>
  <c r="C50" i="3"/>
  <c r="C48" i="3"/>
  <c r="C46" i="3"/>
  <c r="C41" i="3"/>
  <c r="C26" i="3"/>
  <c r="C19" i="3"/>
  <c r="C13" i="3"/>
  <c r="C9" i="3"/>
  <c r="C7" i="3" s="1"/>
  <c r="D7" i="3"/>
  <c r="G46" i="3" l="1"/>
  <c r="F50" i="3"/>
  <c r="G50" i="3"/>
  <c r="G19" i="3"/>
  <c r="F26" i="3"/>
  <c r="F13" i="3"/>
  <c r="F9" i="3"/>
  <c r="E40" i="3"/>
  <c r="F29" i="3"/>
  <c r="G29" i="3"/>
  <c r="G26" i="3"/>
  <c r="F19" i="3"/>
  <c r="G13" i="3"/>
  <c r="E52" i="3"/>
  <c r="G9" i="3"/>
  <c r="D40" i="3"/>
  <c r="F41" i="3"/>
  <c r="D52" i="3"/>
  <c r="C40" i="3"/>
  <c r="G41" i="3"/>
  <c r="C52" i="3"/>
  <c r="F40" i="3" l="1"/>
  <c r="G40" i="3"/>
  <c r="F52" i="3"/>
  <c r="G52" i="3"/>
  <c r="G7" i="3"/>
  <c r="F7" i="3"/>
</calcChain>
</file>

<file path=xl/sharedStrings.xml><?xml version="1.0" encoding="utf-8"?>
<sst xmlns="http://schemas.openxmlformats.org/spreadsheetml/2006/main" count="269" uniqueCount="178">
  <si>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</si>
  <si>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</si>
  <si>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</si>
  <si>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Задолженность и перерасчеты по отмененным налогам, сборам и иным обязательным платежам</t>
  </si>
  <si>
    <t xml:space="preserve">040 1 16 23040 04 0290 140 </t>
  </si>
  <si>
    <t>040 1 11 05024 04 0000 120</t>
  </si>
  <si>
    <t xml:space="preserve"> Д О Х О Д Ы </t>
  </si>
  <si>
    <t>Налоги на совокупный доход</t>
  </si>
  <si>
    <t xml:space="preserve">Единый налог на вмененный доход для отдельных видов деятельности 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</si>
  <si>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</si>
  <si>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</si>
  <si>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</si>
  <si>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</si>
  <si>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</si>
  <si>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</si>
  <si>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Штрафы, санкции, возмещение ущерба</t>
  </si>
  <si>
    <t>В С Е Г О   Д О Х О Д О В</t>
  </si>
  <si>
    <t>КБК</t>
  </si>
  <si>
    <t xml:space="preserve">Безвозмездные поступления </t>
  </si>
  <si>
    <t>182 1 01 02000 01 0000 110</t>
  </si>
  <si>
    <t>000 1 05 00000 00 0000 000</t>
  </si>
  <si>
    <t>Налог, взимаемый в связи с применением упрощенной системы налогообложения</t>
  </si>
  <si>
    <t>182 1 05 01000 00 0000 110</t>
  </si>
  <si>
    <t>182 1 05 02000 02 0000 110</t>
  </si>
  <si>
    <t>000 1 06 00000 00 0000 000</t>
  </si>
  <si>
    <t>182 1 06 01020 04 0000 110</t>
  </si>
  <si>
    <t>182 1 06 04000 02 0000 110</t>
  </si>
  <si>
    <t xml:space="preserve">Транспортный налог </t>
  </si>
  <si>
    <t>182 1 06 06000 00 0000 110</t>
  </si>
  <si>
    <t>000 1 08 00000 00 0000 000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</si>
  <si>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</si>
  <si>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</si>
  <si>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</si>
  <si>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000 1 14 00000 00 0000 000</t>
  </si>
  <si>
    <t>Доходы от продажи квартир, находящихся в собственности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</si>
  <si>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</si>
  <si>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</si>
  <si>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000 2 00 00000 00 0000 000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</si>
  <si>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</si>
  <si>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</si>
  <si>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</si>
  <si>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</si>
  <si>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Налог на доходы физических лиц </t>
  </si>
  <si>
    <t>Наименование кода доходов</t>
  </si>
  <si>
    <t>182 1 05 03000 01 0000 110</t>
  </si>
  <si>
    <t xml:space="preserve">Единый сельскохозяйственный налог </t>
  </si>
  <si>
    <t>000 1 09 00000 00 0000 000</t>
  </si>
  <si>
    <t xml:space="preserve">Доходы от продажи материальных и нематериальных активов </t>
  </si>
  <si>
    <t>000 1 13 00000 00 0000 000</t>
  </si>
  <si>
    <t>000 1 17 00000 00 0000 000</t>
  </si>
  <si>
    <t xml:space="preserve">Прочие неналоговые доходы </t>
  </si>
  <si>
    <t>Прочие безвозмездные поступления</t>
  </si>
  <si>
    <t>Прочие безвозмездные поступления в бюджеты городских округов</t>
  </si>
  <si>
    <t>Безвозмездные поступления от других бюджетов системы Российской Федерации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</si>
  <si>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</si>
  <si>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ИСПОЛНЕНИЕ</t>
  </si>
  <si>
    <t>бюджета города Нижневартовска по доходам</t>
  </si>
  <si>
    <t>тыс. рублей</t>
  </si>
  <si>
    <t>040 1 11 01040 04 0000 120</t>
  </si>
  <si>
    <t>040 1 11 05034 04 0000 120</t>
  </si>
  <si>
    <t>040 1 11 07014 04 0000 120</t>
  </si>
  <si>
    <t>048 1 12 01000 01 0000 120</t>
  </si>
  <si>
    <t>040 1 14 01040 04 0000 410</t>
  </si>
  <si>
    <t>040 1 14 06012 04 0000 430</t>
  </si>
  <si>
    <t>040 1 11 05012 04 0000 120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</si>
  <si>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</si>
  <si>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040 1 14 02043 04 0290 410</t>
  </si>
  <si>
    <t>040 2 18 04030 04 0000 180</t>
  </si>
  <si>
    <t>% исполнения к утверждённому плану 2012 года</t>
  </si>
  <si>
    <t>Утверждено по бюджету на 2012год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</si>
  <si>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</si>
  <si>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</si>
  <si>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040 111 09044 04 0290 120</t>
  </si>
  <si>
    <t>040 1 14 02043 04 0290 440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</si>
  <si>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</si>
  <si>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План на 9 месяцев 2012 года</t>
  </si>
  <si>
    <t>% исполнения к плану 9 месяцев 2012 года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</si>
  <si>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</si>
  <si>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</si>
  <si>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Платежи при использовании природными ресурсами</t>
  </si>
  <si>
    <t>Доходы от оказания платных услуг (работ) и компенсации затрат государства</t>
  </si>
  <si>
    <t>040 2 02 00000 00 0000 000</t>
  </si>
  <si>
    <t>040 2 07 04000 04 0000 180</t>
  </si>
  <si>
    <t>000 2 07 00000 00 0000 180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</si>
  <si>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</si>
  <si>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</si>
  <si>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Доходы бюджетов городских округов от возврата иными организациями остатков субсидий прошлых лет   </t>
  </si>
  <si>
    <t>000 2 19 00000 00 0000 000</t>
  </si>
  <si>
    <t>040 2 19 04000 04 0000 151</t>
  </si>
  <si>
    <t>040 2 02 01000 00 0000 150</t>
  </si>
  <si>
    <t>040 2 02 02000 00 0000 150</t>
  </si>
  <si>
    <t>040 2 02 03000 00 0000 150</t>
  </si>
  <si>
    <t>040 2 02 04000 00 0000 150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</si>
  <si>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</si>
  <si>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</si>
  <si>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>на 01.10.2012 года</t>
  </si>
  <si>
    <t>Фактическое исполнение на 01.10.2012 года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</si>
  <si>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   
</t>
  </si>
  <si>
    <t>040 1 14 02042 04 0290 410</t>
  </si>
  <si>
    <t>040  1 14 02042 04 0290 440</t>
  </si>
  <si>
    <t xml:space="preserve"> Исполнение бюджета</t>
  </si>
  <si>
    <t xml:space="preserve"> города Нижневартовска  по расходам  на 01.10.2012 года</t>
  </si>
  <si>
    <t>Наименование расходов</t>
  </si>
  <si>
    <t>Раздел</t>
  </si>
  <si>
    <t>Подраздел</t>
  </si>
  <si>
    <t>Уточненный план на год (тыс. рублей)</t>
  </si>
  <si>
    <t>Уточненный план на 9 месяцев (тыс. рублей)</t>
  </si>
  <si>
    <t>Исполнено на 01.10.2011 г. (тыс. рублей)</t>
  </si>
  <si>
    <t>% исп. к уточненному плану на год</t>
  </si>
  <si>
    <t>% исп. к уточненному плану на 9 месяцев</t>
  </si>
  <si>
    <t>Всего</t>
  </si>
  <si>
    <t>в том числе</t>
  </si>
  <si>
    <t xml:space="preserve">без капитального строительства </t>
  </si>
  <si>
    <t>капитальное строительство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</si>
  <si>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</si>
  <si>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</si>
  <si>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</si>
  <si>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</si>
  <si>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</si>
  <si>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</si>
  <si>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</si>
  <si>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</si>
  <si>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</si>
  <si>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</si>
  <si>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</si>
  <si>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</si>
  <si>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</si>
  <si>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</si>
  <si>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</si>
  <si>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БЕЗОПАСНОСТЬ И ПРАВООХРАНИТЕЛЬНАЯ  ДЕЯТЕЛЬНОСТЬ </t>
  </si>
  <si>
    <t>03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</si>
  <si>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</si>
  <si>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</si>
  <si>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</si>
  <si>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</si>
  <si>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</si>
  <si>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</si>
  <si>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</si>
  <si>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</si>
  <si>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</si>
  <si>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</si>
  <si>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</si>
  <si>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</si>
  <si>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</si>
  <si>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</si>
  <si>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</si>
  <si>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</si>
  <si>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</si>
  <si>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жилищно-коммунального-хозяйства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</si>
  <si>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</si>
  <si>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</si>
  <si>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</si>
  <si>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</si>
  <si>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</si>
  <si>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</si>
  <si>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</si>
  <si>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</si>
  <si>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</si>
  <si>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</si>
  <si>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</si>
  <si>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</si>
  <si>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</si>
  <si>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</si>
  <si>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</si>
  <si>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</si>
  <si>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Санитарно-эпидемиологическое благополучие 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</si>
  <si>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</si>
  <si>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</si>
  <si>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</si>
  <si>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</si>
  <si>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</si>
  <si>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</si>
  <si>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</si>
  <si>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Физичекая культура</t>
  </si>
  <si>
    <t>Массовый спорт</t>
  </si>
  <si>
    <t>СРЕДСТВА МАССОВОЙ ИНФОРМАЦИИ</t>
  </si>
  <si>
    <t>Периодическая печать и издательства</t>
  </si>
  <si>
    <t>РАСХОДЫ 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</si>
</sst>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0\.00\.0"/>
    <numFmt numFmtId="165" formatCode="#,##0.000"/>
    <numFmt numFmtId="166" formatCode="#,##0.00_ ;[Red]\-#,##0.00\ "/>
    <numFmt numFmtId="167" formatCode="#,##0.0_ ;[Red]\-#,##0.0\ "/>
    <numFmt numFmtId="168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i/>
      <sz val="12"/>
      <name val="Arial Cyr"/>
      <charset val="204"/>
    </font>
    <font>
      <b/>
      <sz val="16"/>
      <name val="Times New Roman"/>
      <family val="1"/>
      <charset val="204"/>
    </font>
    <font>
      <b/>
      <sz val="13.5"/>
      <name val="Times New Roman"/>
      <family val="1"/>
      <charset val="204"/>
    </font>
    <font>
      <b/>
      <i/>
      <sz val="13.5"/>
      <name val="Times New Roman"/>
      <family val="1"/>
      <charset val="204"/>
    </font>
    <font>
      <sz val="13.5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color indexed="56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color indexed="1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16">
    <xf numFmtId="0" fontId="0" fillId="0" borderId="0" xfId="0"/>
    <xf numFmtId="0" fontId="2" fillId="0" borderId="0" xfId="2" applyProtection="1">
      <protection hidden="1"/>
    </xf>
    <xf numFmtId="0" fontId="2" fillId="0" borderId="0" xfId="2"/>
    <xf numFmtId="0" fontId="6" fillId="0" borderId="0" xfId="2" applyFont="1" applyProtection="1">
      <protection hidden="1"/>
    </xf>
    <xf numFmtId="1" fontId="6" fillId="0" borderId="3" xfId="0" applyNumberFormat="1" applyFont="1" applyFill="1" applyBorder="1" applyAlignment="1">
      <alignment horizontal="justify" vertical="center" wrapText="1"/>
    </xf>
    <xf numFmtId="1" fontId="5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0" xfId="0" applyAlignment="1">
      <alignment horizontal="center" wrapText="1"/>
    </xf>
    <xf numFmtId="0" fontId="7" fillId="0" borderId="0" xfId="0" applyFont="1"/>
    <xf numFmtId="0" fontId="6" fillId="0" borderId="0" xfId="2" applyFont="1"/>
    <xf numFmtId="165" fontId="0" fillId="0" borderId="0" xfId="0" applyNumberFormat="1"/>
    <xf numFmtId="164" fontId="9" fillId="2" borderId="9" xfId="2" applyNumberFormat="1" applyFont="1" applyFill="1" applyBorder="1" applyAlignment="1" applyProtection="1">
      <alignment horizontal="right" vertical="center" wrapText="1"/>
      <protection hidden="1"/>
    </xf>
    <xf numFmtId="1" fontId="10" fillId="2" borderId="2" xfId="0" applyNumberFormat="1" applyFont="1" applyFill="1" applyBorder="1" applyAlignment="1">
      <alignment horizontal="left" vertical="center" wrapText="1"/>
    </xf>
    <xf numFmtId="165" fontId="9" fillId="2" borderId="15" xfId="2" applyNumberFormat="1" applyFont="1" applyFill="1" applyBorder="1" applyAlignment="1" applyProtection="1">
      <alignment horizontal="right" vertical="center"/>
      <protection hidden="1"/>
    </xf>
    <xf numFmtId="4" fontId="9" fillId="2" borderId="2" xfId="2" applyNumberFormat="1" applyFont="1" applyFill="1" applyBorder="1" applyAlignment="1" applyProtection="1">
      <alignment horizontal="right" vertical="center"/>
      <protection hidden="1"/>
    </xf>
    <xf numFmtId="4" fontId="9" fillId="2" borderId="9" xfId="2" applyNumberFormat="1" applyFont="1" applyFill="1" applyBorder="1" applyAlignment="1" applyProtection="1">
      <alignment horizontal="right" vertical="center"/>
      <protection hidden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2" borderId="12" xfId="2" applyNumberFormat="1" applyFont="1" applyFill="1" applyBorder="1" applyAlignment="1"/>
    <xf numFmtId="4" fontId="11" fillId="0" borderId="12" xfId="2" applyNumberFormat="1" applyFont="1" applyFill="1" applyBorder="1" applyAlignment="1"/>
    <xf numFmtId="1" fontId="9" fillId="2" borderId="2" xfId="0" applyNumberFormat="1" applyFont="1" applyFill="1" applyBorder="1" applyAlignment="1">
      <alignment horizontal="left" vertical="center" wrapText="1"/>
    </xf>
    <xf numFmtId="165" fontId="9" fillId="2" borderId="15" xfId="2" applyNumberFormat="1" applyFont="1" applyFill="1" applyBorder="1" applyAlignment="1">
      <alignment vertical="center"/>
    </xf>
    <xf numFmtId="4" fontId="9" fillId="2" borderId="9" xfId="2" applyNumberFormat="1" applyFont="1" applyFill="1" applyBorder="1" applyAlignment="1">
      <alignment vertical="center"/>
    </xf>
    <xf numFmtId="1" fontId="11" fillId="0" borderId="3" xfId="0" applyNumberFormat="1" applyFont="1" applyFill="1" applyBorder="1" applyAlignment="1">
      <alignment horizontal="justify" vertical="center" wrapText="1"/>
    </xf>
    <xf numFmtId="4" fontId="11" fillId="0" borderId="11" xfId="0" applyNumberFormat="1" applyFont="1" applyFill="1" applyBorder="1" applyAlignment="1"/>
    <xf numFmtId="1" fontId="11" fillId="0" borderId="1" xfId="0" applyNumberFormat="1" applyFont="1" applyFill="1" applyBorder="1" applyAlignment="1">
      <alignment horizontal="justify" vertical="center" wrapText="1"/>
    </xf>
    <xf numFmtId="165" fontId="11" fillId="2" borderId="11" xfId="2" applyNumberFormat="1" applyFont="1" applyFill="1" applyBorder="1" applyAlignment="1"/>
    <xf numFmtId="4" fontId="11" fillId="0" borderId="11" xfId="2" applyNumberFormat="1" applyFont="1" applyFill="1" applyBorder="1" applyAlignment="1"/>
    <xf numFmtId="0" fontId="9" fillId="2" borderId="9" xfId="2" applyFont="1" applyFill="1" applyBorder="1"/>
    <xf numFmtId="165" fontId="11" fillId="2" borderId="12" xfId="2" applyNumberFormat="1" applyFont="1" applyFill="1" applyBorder="1"/>
    <xf numFmtId="4" fontId="11" fillId="0" borderId="12" xfId="0" applyNumberFormat="1" applyFont="1" applyFill="1" applyBorder="1"/>
    <xf numFmtId="4" fontId="11" fillId="0" borderId="12" xfId="2" applyNumberFormat="1" applyFont="1" applyFill="1" applyBorder="1"/>
    <xf numFmtId="165" fontId="11" fillId="2" borderId="11" xfId="2" applyNumberFormat="1" applyFont="1" applyFill="1" applyBorder="1"/>
    <xf numFmtId="4" fontId="11" fillId="0" borderId="11" xfId="0" applyNumberFormat="1" applyFont="1" applyFill="1" applyBorder="1"/>
    <xf numFmtId="4" fontId="11" fillId="0" borderId="11" xfId="2" applyNumberFormat="1" applyFont="1" applyFill="1" applyBorder="1"/>
    <xf numFmtId="1" fontId="11" fillId="0" borderId="5" xfId="0" applyNumberFormat="1" applyFont="1" applyFill="1" applyBorder="1" applyAlignment="1">
      <alignment horizontal="left" vertical="center" wrapText="1"/>
    </xf>
    <xf numFmtId="165" fontId="11" fillId="2" borderId="16" xfId="2" applyNumberFormat="1" applyFont="1" applyFill="1" applyBorder="1"/>
    <xf numFmtId="4" fontId="11" fillId="0" borderId="16" xfId="2" applyNumberFormat="1" applyFont="1" applyFill="1" applyBorder="1"/>
    <xf numFmtId="165" fontId="9" fillId="2" borderId="9" xfId="2" applyNumberFormat="1" applyFont="1" applyFill="1" applyBorder="1"/>
    <xf numFmtId="165" fontId="9" fillId="2" borderId="15" xfId="0" applyNumberFormat="1" applyFont="1" applyFill="1" applyBorder="1"/>
    <xf numFmtId="4" fontId="9" fillId="2" borderId="9" xfId="2" applyNumberFormat="1" applyFont="1" applyFill="1" applyBorder="1"/>
    <xf numFmtId="4" fontId="9" fillId="2" borderId="9" xfId="0" applyNumberFormat="1" applyFont="1" applyFill="1" applyBorder="1"/>
    <xf numFmtId="1" fontId="9" fillId="2" borderId="6" xfId="0" applyNumberFormat="1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165" fontId="11" fillId="2" borderId="17" xfId="2" applyNumberFormat="1" applyFont="1" applyFill="1" applyBorder="1"/>
    <xf numFmtId="4" fontId="11" fillId="0" borderId="17" xfId="2" applyNumberFormat="1" applyFont="1" applyFill="1" applyBorder="1"/>
    <xf numFmtId="1" fontId="9" fillId="2" borderId="2" xfId="0" applyNumberFormat="1" applyFont="1" applyFill="1" applyBorder="1" applyAlignment="1">
      <alignment horizontal="justify" vertical="center" wrapText="1"/>
    </xf>
    <xf numFmtId="165" fontId="9" fillId="2" borderId="15" xfId="2" applyNumberFormat="1" applyFont="1" applyFill="1" applyBorder="1"/>
    <xf numFmtId="1" fontId="11" fillId="0" borderId="2" xfId="0" applyNumberFormat="1" applyFont="1" applyFill="1" applyBorder="1" applyAlignment="1">
      <alignment horizontal="justify" vertical="center" wrapText="1"/>
    </xf>
    <xf numFmtId="165" fontId="11" fillId="2" borderId="9" xfId="2" applyNumberFormat="1" applyFont="1" applyFill="1" applyBorder="1"/>
    <xf numFmtId="1" fontId="9" fillId="2" borderId="8" xfId="0" applyNumberFormat="1" applyFont="1" applyFill="1" applyBorder="1" applyAlignment="1">
      <alignment horizontal="justify" vertical="center" wrapText="1"/>
    </xf>
    <xf numFmtId="0" fontId="11" fillId="0" borderId="7" xfId="0" applyFont="1" applyBorder="1" applyAlignment="1">
      <alignment horizontal="justify" wrapText="1"/>
    </xf>
    <xf numFmtId="4" fontId="11" fillId="0" borderId="16" xfId="0" applyNumberFormat="1" applyFont="1" applyFill="1" applyBorder="1"/>
    <xf numFmtId="49" fontId="11" fillId="0" borderId="1" xfId="0" applyNumberFormat="1" applyFont="1" applyFill="1" applyBorder="1" applyAlignment="1">
      <alignment horizontal="justify" vertical="center" wrapText="1"/>
    </xf>
    <xf numFmtId="4" fontId="11" fillId="0" borderId="11" xfId="0" applyNumberFormat="1" applyFont="1" applyFill="1" applyBorder="1" applyAlignment="1">
      <alignment horizontal="right"/>
    </xf>
    <xf numFmtId="165" fontId="9" fillId="2" borderId="10" xfId="2" applyNumberFormat="1" applyFont="1" applyFill="1" applyBorder="1"/>
    <xf numFmtId="4" fontId="9" fillId="2" borderId="10" xfId="2" applyNumberFormat="1" applyFont="1" applyFill="1" applyBorder="1"/>
    <xf numFmtId="1" fontId="9" fillId="0" borderId="9" xfId="0" applyNumberFormat="1" applyFont="1" applyFill="1" applyBorder="1" applyAlignment="1">
      <alignment horizontal="left" vertical="center" wrapText="1"/>
    </xf>
    <xf numFmtId="4" fontId="9" fillId="0" borderId="9" xfId="2" applyNumberFormat="1" applyFont="1" applyFill="1" applyBorder="1"/>
    <xf numFmtId="1" fontId="11" fillId="0" borderId="9" xfId="0" applyNumberFormat="1" applyFont="1" applyFill="1" applyBorder="1" applyAlignment="1">
      <alignment horizontal="left" vertical="center" wrapText="1"/>
    </xf>
    <xf numFmtId="4" fontId="11" fillId="0" borderId="9" xfId="2" applyNumberFormat="1" applyFont="1" applyFill="1" applyBorder="1"/>
    <xf numFmtId="0" fontId="12" fillId="0" borderId="9" xfId="0" applyFont="1" applyFill="1" applyBorder="1" applyAlignment="1">
      <alignment horizontal="justify" vertical="center" wrapText="1"/>
    </xf>
    <xf numFmtId="1" fontId="11" fillId="0" borderId="4" xfId="0" applyNumberFormat="1" applyFont="1" applyFill="1" applyBorder="1" applyAlignment="1">
      <alignment horizontal="justify" vertical="center" wrapText="1"/>
    </xf>
    <xf numFmtId="165" fontId="9" fillId="2" borderId="17" xfId="2" applyNumberFormat="1" applyFont="1" applyFill="1" applyBorder="1"/>
    <xf numFmtId="4" fontId="11" fillId="0" borderId="17" xfId="0" applyNumberFormat="1" applyFont="1" applyFill="1" applyBorder="1"/>
    <xf numFmtId="0" fontId="2" fillId="0" borderId="0" xfId="2" applyFont="1"/>
    <xf numFmtId="165" fontId="1" fillId="0" borderId="0" xfId="0" applyNumberFormat="1" applyFont="1"/>
    <xf numFmtId="0" fontId="1" fillId="0" borderId="0" xfId="0" applyFont="1"/>
    <xf numFmtId="165" fontId="11" fillId="0" borderId="21" xfId="0" applyNumberFormat="1" applyFont="1" applyBorder="1" applyAlignment="1"/>
    <xf numFmtId="165" fontId="11" fillId="0" borderId="18" xfId="0" applyNumberFormat="1" applyFont="1" applyBorder="1" applyAlignment="1"/>
    <xf numFmtId="165" fontId="11" fillId="0" borderId="18" xfId="0" applyNumberFormat="1" applyFont="1" applyBorder="1"/>
    <xf numFmtId="165" fontId="11" fillId="0" borderId="18" xfId="0" applyNumberFormat="1" applyFont="1" applyFill="1" applyBorder="1"/>
    <xf numFmtId="165" fontId="11" fillId="0" borderId="9" xfId="2" applyNumberFormat="1" applyFont="1" applyFill="1" applyBorder="1"/>
    <xf numFmtId="165" fontId="11" fillId="0" borderId="19" xfId="0" applyNumberFormat="1" applyFont="1" applyFill="1" applyBorder="1"/>
    <xf numFmtId="165" fontId="11" fillId="0" borderId="20" xfId="0" applyNumberFormat="1" applyFont="1" applyFill="1" applyBorder="1"/>
    <xf numFmtId="165" fontId="9" fillId="0" borderId="18" xfId="0" applyNumberFormat="1" applyFont="1" applyFill="1" applyBorder="1"/>
    <xf numFmtId="165" fontId="9" fillId="2" borderId="24" xfId="2" applyNumberFormat="1" applyFont="1" applyFill="1" applyBorder="1"/>
    <xf numFmtId="49" fontId="11" fillId="0" borderId="9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 wrapText="1"/>
    </xf>
    <xf numFmtId="0" fontId="11" fillId="0" borderId="3" xfId="2" applyNumberFormat="1" applyFont="1" applyFill="1" applyBorder="1" applyAlignment="1" applyProtection="1">
      <alignment horizontal="right"/>
      <protection hidden="1"/>
    </xf>
    <xf numFmtId="0" fontId="9" fillId="2" borderId="9" xfId="2" applyNumberFormat="1" applyFont="1" applyFill="1" applyBorder="1" applyAlignment="1" applyProtection="1">
      <alignment horizontal="right"/>
      <protection hidden="1"/>
    </xf>
    <xf numFmtId="0" fontId="11" fillId="0" borderId="1" xfId="2" applyNumberFormat="1" applyFont="1" applyFill="1" applyBorder="1" applyAlignment="1" applyProtection="1">
      <alignment horizontal="right"/>
      <protection hidden="1"/>
    </xf>
    <xf numFmtId="0" fontId="9" fillId="2" borderId="9" xfId="2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1" xfId="2" applyFont="1" applyBorder="1" applyAlignment="1">
      <alignment horizontal="right"/>
    </xf>
    <xf numFmtId="0" fontId="11" fillId="0" borderId="5" xfId="2" applyFont="1" applyBorder="1" applyAlignment="1">
      <alignment horizontal="right"/>
    </xf>
    <xf numFmtId="0" fontId="9" fillId="2" borderId="10" xfId="2" applyFont="1" applyFill="1" applyBorder="1" applyAlignment="1">
      <alignment horizontal="right"/>
    </xf>
    <xf numFmtId="0" fontId="11" fillId="0" borderId="3" xfId="2" applyFont="1" applyBorder="1" applyAlignment="1">
      <alignment horizontal="right"/>
    </xf>
    <xf numFmtId="0" fontId="11" fillId="0" borderId="14" xfId="2" applyFont="1" applyBorder="1" applyAlignment="1">
      <alignment horizontal="right" wrapText="1"/>
    </xf>
    <xf numFmtId="0" fontId="11" fillId="0" borderId="4" xfId="2" applyFont="1" applyFill="1" applyBorder="1" applyAlignment="1">
      <alignment horizontal="right"/>
    </xf>
    <xf numFmtId="0" fontId="9" fillId="2" borderId="2" xfId="2" applyFont="1" applyFill="1" applyBorder="1" applyAlignment="1">
      <alignment horizontal="right"/>
    </xf>
    <xf numFmtId="49" fontId="9" fillId="0" borderId="9" xfId="0" applyNumberFormat="1" applyFont="1" applyFill="1" applyBorder="1" applyAlignment="1">
      <alignment horizontal="right" vertical="center"/>
    </xf>
    <xf numFmtId="49" fontId="9" fillId="2" borderId="9" xfId="0" applyNumberFormat="1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justify" wrapText="1"/>
    </xf>
    <xf numFmtId="165" fontId="11" fillId="2" borderId="14" xfId="2" applyNumberFormat="1" applyFont="1" applyFill="1" applyBorder="1"/>
    <xf numFmtId="165" fontId="11" fillId="0" borderId="23" xfId="0" applyNumberFormat="1" applyFont="1" applyFill="1" applyBorder="1"/>
    <xf numFmtId="165" fontId="9" fillId="2" borderId="2" xfId="2" applyNumberFormat="1" applyFont="1" applyFill="1" applyBorder="1" applyAlignment="1" applyProtection="1">
      <alignment horizontal="right" vertical="center"/>
      <protection hidden="1"/>
    </xf>
    <xf numFmtId="165" fontId="11" fillId="0" borderId="12" xfId="2" applyNumberFormat="1" applyFont="1" applyFill="1" applyBorder="1" applyAlignment="1"/>
    <xf numFmtId="165" fontId="9" fillId="2" borderId="9" xfId="2" applyNumberFormat="1" applyFont="1" applyFill="1" applyBorder="1" applyAlignment="1">
      <alignment vertical="center"/>
    </xf>
    <xf numFmtId="165" fontId="11" fillId="0" borderId="11" xfId="2" applyNumberFormat="1" applyFont="1" applyFill="1" applyBorder="1" applyAlignment="1"/>
    <xf numFmtId="165" fontId="11" fillId="0" borderId="12" xfId="2" applyNumberFormat="1" applyFont="1" applyFill="1" applyBorder="1"/>
    <xf numFmtId="165" fontId="11" fillId="0" borderId="17" xfId="2" applyNumberFormat="1" applyFont="1" applyFill="1" applyBorder="1"/>
    <xf numFmtId="165" fontId="11" fillId="0" borderId="11" xfId="2" applyNumberFormat="1" applyFont="1" applyFill="1" applyBorder="1"/>
    <xf numFmtId="165" fontId="11" fillId="0" borderId="16" xfId="2" applyNumberFormat="1" applyFont="1" applyFill="1" applyBorder="1"/>
    <xf numFmtId="165" fontId="11" fillId="0" borderId="7" xfId="2" applyNumberFormat="1" applyFont="1" applyFill="1" applyBorder="1"/>
    <xf numFmtId="165" fontId="9" fillId="0" borderId="12" xfId="2" applyNumberFormat="1" applyFont="1" applyFill="1" applyBorder="1"/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0" fontId="8" fillId="0" borderId="0" xfId="2" applyFont="1" applyAlignment="1" applyProtection="1">
      <alignment horizontal="center" wrapText="1"/>
      <protection hidden="1"/>
    </xf>
    <xf numFmtId="44" fontId="8" fillId="0" borderId="0" xfId="1" applyFont="1" applyAlignment="1" applyProtection="1">
      <alignment horizontal="center" wrapText="1"/>
      <protection hidden="1"/>
    </xf>
    <xf numFmtId="0" fontId="4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2" applyNumberFormat="1" applyFont="1" applyFill="1" applyBorder="1" applyAlignment="1" applyProtection="1">
      <alignment horizontal="center" vertical="center" wrapText="1"/>
      <protection hidden="1"/>
    </xf>
    <xf numFmtId="4" fontId="6" fillId="2" borderId="10" xfId="2" applyNumberFormat="1" applyFont="1" applyFill="1" applyBorder="1" applyAlignment="1">
      <alignment horizontal="center" vertical="center" wrapText="1"/>
    </xf>
    <xf numFmtId="4" fontId="6" fillId="2" borderId="22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7" fillId="0" borderId="20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49" fontId="16" fillId="3" borderId="43" xfId="0" applyNumberFormat="1" applyFont="1" applyFill="1" applyBorder="1" applyAlignment="1">
      <alignment horizontal="center" vertical="center" wrapText="1"/>
    </xf>
    <xf numFmtId="166" fontId="16" fillId="3" borderId="43" xfId="0" applyNumberFormat="1" applyFont="1" applyFill="1" applyBorder="1" applyAlignment="1">
      <alignment horizontal="center" vertical="center" wrapText="1"/>
    </xf>
    <xf numFmtId="167" fontId="16" fillId="3" borderId="43" xfId="0" applyNumberFormat="1" applyFont="1" applyFill="1" applyBorder="1" applyAlignment="1">
      <alignment horizontal="center" vertical="center" wrapText="1"/>
    </xf>
    <xf numFmtId="167" fontId="16" fillId="3" borderId="44" xfId="0" applyNumberFormat="1" applyFont="1" applyFill="1" applyBorder="1" applyAlignment="1">
      <alignment horizontal="center" vertical="center" wrapText="1"/>
    </xf>
    <xf numFmtId="167" fontId="16" fillId="3" borderId="3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4" borderId="18" xfId="0" applyFont="1" applyFill="1" applyBorder="1" applyAlignment="1">
      <alignment horizontal="left" vertical="center" wrapText="1"/>
    </xf>
    <xf numFmtId="49" fontId="15" fillId="4" borderId="43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Border="1" applyAlignment="1">
      <alignment horizontal="center" vertical="center" wrapText="1"/>
    </xf>
    <xf numFmtId="166" fontId="19" fillId="0" borderId="43" xfId="0" applyNumberFormat="1" applyFont="1" applyFill="1" applyBorder="1" applyAlignment="1">
      <alignment horizontal="center" vertical="center" wrapText="1"/>
    </xf>
    <xf numFmtId="167" fontId="19" fillId="0" borderId="43" xfId="0" applyNumberFormat="1" applyFont="1" applyFill="1" applyBorder="1" applyAlignment="1">
      <alignment horizontal="center" vertical="center" wrapText="1"/>
    </xf>
    <xf numFmtId="167" fontId="19" fillId="0" borderId="44" xfId="0" applyNumberFormat="1" applyFont="1" applyFill="1" applyBorder="1" applyAlignment="1">
      <alignment horizontal="center" vertical="center" wrapText="1"/>
    </xf>
    <xf numFmtId="167" fontId="19" fillId="0" borderId="3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18" xfId="0" applyFont="1" applyBorder="1" applyAlignment="1">
      <alignment horizontal="left" vertical="center" wrapText="1"/>
    </xf>
    <xf numFmtId="166" fontId="15" fillId="0" borderId="43" xfId="0" applyNumberFormat="1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left" vertical="center" wrapText="1"/>
    </xf>
    <xf numFmtId="49" fontId="19" fillId="5" borderId="43" xfId="0" applyNumberFormat="1" applyFont="1" applyFill="1" applyBorder="1" applyAlignment="1">
      <alignment horizontal="center" vertical="center" wrapText="1"/>
    </xf>
    <xf numFmtId="166" fontId="19" fillId="5" borderId="43" xfId="0" applyNumberFormat="1" applyFont="1" applyFill="1" applyBorder="1" applyAlignment="1">
      <alignment horizontal="center" vertical="center" wrapText="1"/>
    </xf>
    <xf numFmtId="167" fontId="19" fillId="5" borderId="44" xfId="0" applyNumberFormat="1" applyFont="1" applyFill="1" applyBorder="1" applyAlignment="1">
      <alignment horizontal="center" vertical="center" wrapText="1"/>
    </xf>
    <xf numFmtId="167" fontId="16" fillId="5" borderId="32" xfId="0" applyNumberFormat="1" applyFont="1" applyFill="1" applyBorder="1" applyAlignment="1">
      <alignment horizontal="center" vertical="center" wrapText="1"/>
    </xf>
    <xf numFmtId="167" fontId="16" fillId="5" borderId="43" xfId="0" applyNumberFormat="1" applyFont="1" applyFill="1" applyBorder="1" applyAlignment="1">
      <alignment horizontal="center" vertical="center" wrapText="1"/>
    </xf>
    <xf numFmtId="167" fontId="16" fillId="5" borderId="44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/>
    </xf>
    <xf numFmtId="167" fontId="20" fillId="6" borderId="44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justify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49" fontId="20" fillId="3" borderId="43" xfId="0" applyNumberFormat="1" applyFont="1" applyFill="1" applyBorder="1" applyAlignment="1">
      <alignment horizontal="center" vertical="center" wrapText="1"/>
    </xf>
    <xf numFmtId="167" fontId="20" fillId="3" borderId="44" xfId="0" applyNumberFormat="1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 wrapText="1"/>
    </xf>
    <xf numFmtId="167" fontId="19" fillId="6" borderId="44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center" vertical="center" wrapText="1"/>
    </xf>
    <xf numFmtId="166" fontId="15" fillId="4" borderId="43" xfId="0" applyNumberFormat="1" applyFont="1" applyFill="1" applyBorder="1" applyAlignment="1">
      <alignment horizontal="center" vertical="center" wrapText="1"/>
    </xf>
    <xf numFmtId="166" fontId="19" fillId="4" borderId="43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center" vertical="center" wrapText="1"/>
    </xf>
    <xf numFmtId="49" fontId="15" fillId="0" borderId="30" xfId="0" applyNumberFormat="1" applyFont="1" applyBorder="1" applyAlignment="1">
      <alignment horizontal="center" vertical="center" wrapText="1"/>
    </xf>
    <xf numFmtId="166" fontId="15" fillId="0" borderId="30" xfId="0" applyNumberFormat="1" applyFont="1" applyFill="1" applyBorder="1" applyAlignment="1">
      <alignment horizontal="center" vertical="center" wrapText="1"/>
    </xf>
    <xf numFmtId="166" fontId="19" fillId="0" borderId="30" xfId="0" applyNumberFormat="1" applyFont="1" applyFill="1" applyBorder="1" applyAlignment="1">
      <alignment horizontal="center" vertical="center" wrapText="1"/>
    </xf>
    <xf numFmtId="167" fontId="19" fillId="0" borderId="30" xfId="0" applyNumberFormat="1" applyFont="1" applyFill="1" applyBorder="1" applyAlignment="1">
      <alignment horizontal="center" vertical="center" wrapText="1"/>
    </xf>
    <xf numFmtId="167" fontId="19" fillId="0" borderId="45" xfId="0" applyNumberFormat="1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166" fontId="20" fillId="6" borderId="43" xfId="0" applyNumberFormat="1" applyFont="1" applyFill="1" applyBorder="1" applyAlignment="1">
      <alignment horizontal="center" vertical="center" wrapText="1"/>
    </xf>
    <xf numFmtId="167" fontId="20" fillId="6" borderId="30" xfId="0" applyNumberFormat="1" applyFont="1" applyFill="1" applyBorder="1" applyAlignment="1">
      <alignment horizontal="center" vertical="center" wrapText="1"/>
    </xf>
    <xf numFmtId="167" fontId="19" fillId="0" borderId="46" xfId="0" applyNumberFormat="1" applyFont="1" applyFill="1" applyBorder="1" applyAlignment="1">
      <alignment horizontal="center" vertical="center" wrapText="1"/>
    </xf>
    <xf numFmtId="167" fontId="19" fillId="0" borderId="29" xfId="0" applyNumberFormat="1" applyFont="1" applyFill="1" applyBorder="1" applyAlignment="1">
      <alignment horizontal="center" vertical="center" wrapText="1"/>
    </xf>
    <xf numFmtId="167" fontId="19" fillId="0" borderId="47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5" borderId="43" xfId="0" applyFont="1" applyFill="1" applyBorder="1" applyAlignment="1">
      <alignment horizontal="center" vertical="center" wrapText="1"/>
    </xf>
    <xf numFmtId="167" fontId="19" fillId="5" borderId="30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166" fontId="16" fillId="3" borderId="48" xfId="0" applyNumberFormat="1" applyFont="1" applyFill="1" applyBorder="1" applyAlignment="1">
      <alignment horizontal="center" vertical="center" wrapText="1"/>
    </xf>
    <xf numFmtId="167" fontId="16" fillId="3" borderId="48" xfId="0" applyNumberFormat="1" applyFont="1" applyFill="1" applyBorder="1" applyAlignment="1">
      <alignment horizontal="center" vertical="center" wrapText="1"/>
    </xf>
    <xf numFmtId="167" fontId="16" fillId="3" borderId="49" xfId="0" applyNumberFormat="1" applyFont="1" applyFill="1" applyBorder="1" applyAlignment="1">
      <alignment horizontal="center" vertical="center" wrapText="1"/>
    </xf>
    <xf numFmtId="167" fontId="16" fillId="3" borderId="50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8" fontId="15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68" fontId="21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NumberFormat="1" applyFont="1" applyAlignment="1"/>
  </cellXfs>
  <cellStyles count="3">
    <cellStyle name="Денежный" xfId="1" builtinId="4"/>
    <cellStyle name="Обычный" xfId="0" builtinId="0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zoomScale="59" zoomScaleNormal="63" zoomScaleSheetLayoutView="59" workbookViewId="0">
      <pane xSplit="7" ySplit="6" topLeftCell="H34" activePane="bottomRight" state="frozen"/>
      <selection pane="topRight" activeCell="H1" sqref="H1"/>
      <selection pane="bottomLeft" activeCell="A7" sqref="A7"/>
      <selection pane="bottomRight" sqref="A1:G1"/>
    </sheetView>
  </sheetViews>
  <sheetFormatPr defaultRowHeight="13.2" x14ac:dyDescent="0.25"/>
  <cols>
    <col min="1" max="1" width="35" customWidth="1"/>
    <col min="2" max="2" width="111" customWidth="1"/>
    <col min="3" max="3" width="21.6640625" customWidth="1"/>
    <col min="4" max="4" width="20.88671875" customWidth="1"/>
    <col min="5" max="5" width="20" style="66" customWidth="1"/>
    <col min="6" max="6" width="19.88671875" customWidth="1"/>
    <col min="7" max="7" width="20" customWidth="1"/>
  </cols>
  <sheetData>
    <row r="1" spans="1:7" ht="18.75" customHeight="1" x14ac:dyDescent="0.35">
      <c r="A1" s="108" t="s">
        <v>55</v>
      </c>
      <c r="B1" s="108"/>
      <c r="C1" s="108"/>
      <c r="D1" s="108"/>
      <c r="E1" s="108"/>
      <c r="F1" s="108"/>
      <c r="G1" s="108"/>
    </row>
    <row r="2" spans="1:7" ht="15" customHeight="1" x14ac:dyDescent="0.35">
      <c r="A2" s="108" t="s">
        <v>56</v>
      </c>
      <c r="B2" s="108"/>
      <c r="C2" s="108"/>
      <c r="D2" s="108"/>
      <c r="E2" s="108"/>
      <c r="F2" s="108"/>
      <c r="G2" s="108"/>
    </row>
    <row r="3" spans="1:7" ht="17.25" customHeight="1" x14ac:dyDescent="0.35">
      <c r="A3" s="109" t="s">
        <v>95</v>
      </c>
      <c r="B3" s="109"/>
      <c r="C3" s="109"/>
      <c r="D3" s="109"/>
      <c r="E3" s="109"/>
      <c r="F3" s="109"/>
      <c r="G3" s="109"/>
    </row>
    <row r="4" spans="1:7" ht="21" customHeight="1" thickBot="1" x14ac:dyDescent="0.4">
      <c r="A4" s="3"/>
      <c r="B4" s="1"/>
      <c r="C4" s="2"/>
      <c r="D4" s="2"/>
      <c r="E4" s="64"/>
      <c r="F4" s="2"/>
      <c r="G4" s="9" t="s">
        <v>57</v>
      </c>
    </row>
    <row r="5" spans="1:7" ht="19.5" customHeight="1" x14ac:dyDescent="0.25">
      <c r="A5" s="110" t="s">
        <v>17</v>
      </c>
      <c r="B5" s="110" t="s">
        <v>43</v>
      </c>
      <c r="C5" s="112" t="s">
        <v>69</v>
      </c>
      <c r="D5" s="112" t="s">
        <v>75</v>
      </c>
      <c r="E5" s="112" t="s">
        <v>96</v>
      </c>
      <c r="F5" s="106" t="s">
        <v>76</v>
      </c>
      <c r="G5" s="112" t="s">
        <v>68</v>
      </c>
    </row>
    <row r="6" spans="1:7" ht="55.5" customHeight="1" thickBot="1" x14ac:dyDescent="0.3">
      <c r="A6" s="111"/>
      <c r="B6" s="111"/>
      <c r="C6" s="113"/>
      <c r="D6" s="113"/>
      <c r="E6" s="113"/>
      <c r="F6" s="107"/>
      <c r="G6" s="113"/>
    </row>
    <row r="7" spans="1:7" ht="22.5" customHeight="1" thickBot="1" x14ac:dyDescent="0.3">
      <c r="A7" s="11"/>
      <c r="B7" s="12" t="s">
        <v>6</v>
      </c>
      <c r="C7" s="13">
        <f>SUM(C8,C9,C13,C17:C19,C26,C28:C29,C37:C39)</f>
        <v>6466690.0990000013</v>
      </c>
      <c r="D7" s="13">
        <f>SUM(D8,D9,D13,D17:D19,D26,D28:D29,D37:D39)</f>
        <v>4609895.0159999998</v>
      </c>
      <c r="E7" s="96">
        <f>SUM(E8,E9,E13,E17,E18,E19,E26,E28,E29,E37,E39)</f>
        <v>4605844.756000001</v>
      </c>
      <c r="F7" s="14">
        <f>E7/D7*100</f>
        <v>99.912139864661967</v>
      </c>
      <c r="G7" s="15">
        <f>E7/C7*100</f>
        <v>71.224145358569785</v>
      </c>
    </row>
    <row r="8" spans="1:7" ht="24.75" customHeight="1" thickBot="1" x14ac:dyDescent="0.4">
      <c r="A8" s="78" t="s">
        <v>19</v>
      </c>
      <c r="B8" s="16" t="s">
        <v>42</v>
      </c>
      <c r="C8" s="17">
        <v>4086599.9</v>
      </c>
      <c r="D8" s="67">
        <v>2877927.39</v>
      </c>
      <c r="E8" s="97">
        <v>2887014.0490000001</v>
      </c>
      <c r="F8" s="18">
        <f>E8/D8*100</f>
        <v>100.31573621459573</v>
      </c>
      <c r="G8" s="18">
        <f t="shared" ref="G8:G52" si="0">E8/C8*100</f>
        <v>70.645869907646215</v>
      </c>
    </row>
    <row r="9" spans="1:7" ht="24.75" customHeight="1" thickBot="1" x14ac:dyDescent="0.35">
      <c r="A9" s="79" t="s">
        <v>20</v>
      </c>
      <c r="B9" s="19" t="s">
        <v>7</v>
      </c>
      <c r="C9" s="20">
        <f>SUM(C10:C12)</f>
        <v>756553</v>
      </c>
      <c r="D9" s="20">
        <f>SUM(D10:D12)</f>
        <v>595925.5</v>
      </c>
      <c r="E9" s="98">
        <f>SUM(E10,E11,E12)</f>
        <v>604773.85400000005</v>
      </c>
      <c r="F9" s="21">
        <f t="shared" ref="F9:F52" si="1">E9/D9*100</f>
        <v>101.48480875545684</v>
      </c>
      <c r="G9" s="21">
        <f t="shared" si="0"/>
        <v>79.938068317751714</v>
      </c>
    </row>
    <row r="10" spans="1:7" ht="24" customHeight="1" x14ac:dyDescent="0.35">
      <c r="A10" s="78" t="s">
        <v>22</v>
      </c>
      <c r="B10" s="22" t="s">
        <v>21</v>
      </c>
      <c r="C10" s="17">
        <v>469447</v>
      </c>
      <c r="D10" s="68">
        <v>374726</v>
      </c>
      <c r="E10" s="97">
        <v>382615.84100000001</v>
      </c>
      <c r="F10" s="23">
        <f t="shared" si="1"/>
        <v>102.10549601575552</v>
      </c>
      <c r="G10" s="18">
        <f t="shared" si="0"/>
        <v>81.503522442363035</v>
      </c>
    </row>
    <row r="11" spans="1:7" ht="24" customHeight="1" x14ac:dyDescent="0.35">
      <c r="A11" s="80" t="s">
        <v>23</v>
      </c>
      <c r="B11" s="24" t="s">
        <v>8</v>
      </c>
      <c r="C11" s="25">
        <v>286550</v>
      </c>
      <c r="D11" s="68">
        <v>220643.5</v>
      </c>
      <c r="E11" s="99">
        <v>221595.89799999999</v>
      </c>
      <c r="F11" s="23">
        <f t="shared" si="1"/>
        <v>100.43164561838441</v>
      </c>
      <c r="G11" s="26">
        <f t="shared" si="0"/>
        <v>77.332367126155987</v>
      </c>
    </row>
    <row r="12" spans="1:7" ht="20.25" customHeight="1" thickBot="1" x14ac:dyDescent="0.4">
      <c r="A12" s="80" t="s">
        <v>44</v>
      </c>
      <c r="B12" s="24" t="s">
        <v>45</v>
      </c>
      <c r="C12" s="17">
        <v>556</v>
      </c>
      <c r="D12" s="68">
        <v>556</v>
      </c>
      <c r="E12" s="97">
        <v>562.11500000000001</v>
      </c>
      <c r="F12" s="23">
        <f t="shared" si="1"/>
        <v>101.0998201438849</v>
      </c>
      <c r="G12" s="18">
        <f t="shared" si="0"/>
        <v>101.0998201438849</v>
      </c>
    </row>
    <row r="13" spans="1:7" ht="19.5" customHeight="1" thickBot="1" x14ac:dyDescent="0.35">
      <c r="A13" s="81" t="s">
        <v>24</v>
      </c>
      <c r="B13" s="19" t="s">
        <v>9</v>
      </c>
      <c r="C13" s="20">
        <f>SUM(C14:C16)</f>
        <v>568012.98</v>
      </c>
      <c r="D13" s="20">
        <f>SUM(D14:D16)</f>
        <v>411108</v>
      </c>
      <c r="E13" s="98">
        <f>SUM(E14,E15,E16)</f>
        <v>373603.48700000002</v>
      </c>
      <c r="F13" s="21">
        <f t="shared" si="1"/>
        <v>90.877211584303879</v>
      </c>
      <c r="G13" s="21">
        <f t="shared" si="0"/>
        <v>65.773758726429108</v>
      </c>
    </row>
    <row r="14" spans="1:7" ht="35.25" customHeight="1" x14ac:dyDescent="0.35">
      <c r="A14" s="82" t="s">
        <v>25</v>
      </c>
      <c r="B14" s="22" t="s">
        <v>77</v>
      </c>
      <c r="C14" s="28">
        <v>64000</v>
      </c>
      <c r="D14" s="69">
        <v>35700</v>
      </c>
      <c r="E14" s="100">
        <v>27123.705999999998</v>
      </c>
      <c r="F14" s="29">
        <f t="shared" si="1"/>
        <v>75.976767507002791</v>
      </c>
      <c r="G14" s="30">
        <f t="shared" si="0"/>
        <v>42.380790624999996</v>
      </c>
    </row>
    <row r="15" spans="1:7" ht="24" customHeight="1" x14ac:dyDescent="0.35">
      <c r="A15" s="83" t="s">
        <v>26</v>
      </c>
      <c r="B15" s="24" t="s">
        <v>27</v>
      </c>
      <c r="C15" s="31">
        <v>367347</v>
      </c>
      <c r="D15" s="69">
        <v>274048</v>
      </c>
      <c r="E15" s="100">
        <v>261295.90700000001</v>
      </c>
      <c r="F15" s="32">
        <f t="shared" si="1"/>
        <v>95.346766624824852</v>
      </c>
      <c r="G15" s="33">
        <f t="shared" si="0"/>
        <v>71.130540606021015</v>
      </c>
    </row>
    <row r="16" spans="1:7" ht="24" customHeight="1" thickBot="1" x14ac:dyDescent="0.4">
      <c r="A16" s="84" t="s">
        <v>28</v>
      </c>
      <c r="B16" s="34" t="s">
        <v>10</v>
      </c>
      <c r="C16" s="35">
        <v>136665.98000000001</v>
      </c>
      <c r="D16" s="69">
        <v>101360</v>
      </c>
      <c r="E16" s="100">
        <v>85183.873999999996</v>
      </c>
      <c r="F16" s="32">
        <f t="shared" si="1"/>
        <v>84.040917521704799</v>
      </c>
      <c r="G16" s="36">
        <f t="shared" si="0"/>
        <v>62.329977072567722</v>
      </c>
    </row>
    <row r="17" spans="1:7" ht="26.25" customHeight="1" thickBot="1" x14ac:dyDescent="0.35">
      <c r="A17" s="85" t="s">
        <v>29</v>
      </c>
      <c r="B17" s="19" t="s">
        <v>11</v>
      </c>
      <c r="C17" s="37">
        <v>31450</v>
      </c>
      <c r="D17" s="38">
        <v>25917</v>
      </c>
      <c r="E17" s="37">
        <v>27877.759999999998</v>
      </c>
      <c r="F17" s="39">
        <f t="shared" si="1"/>
        <v>107.56553613458347</v>
      </c>
      <c r="G17" s="39">
        <f t="shared" si="0"/>
        <v>88.641526232114458</v>
      </c>
    </row>
    <row r="18" spans="1:7" ht="37.5" customHeight="1" thickBot="1" x14ac:dyDescent="0.35">
      <c r="A18" s="85" t="s">
        <v>46</v>
      </c>
      <c r="B18" s="19" t="s">
        <v>3</v>
      </c>
      <c r="C18" s="37">
        <v>0</v>
      </c>
      <c r="D18" s="38">
        <v>0</v>
      </c>
      <c r="E18" s="37">
        <v>101.09</v>
      </c>
      <c r="F18" s="40">
        <v>0</v>
      </c>
      <c r="G18" s="39">
        <v>0</v>
      </c>
    </row>
    <row r="19" spans="1:7" ht="42" customHeight="1" thickBot="1" x14ac:dyDescent="0.35">
      <c r="A19" s="81" t="s">
        <v>30</v>
      </c>
      <c r="B19" s="41" t="s">
        <v>12</v>
      </c>
      <c r="C19" s="37">
        <f>SUM(C20:C25)</f>
        <v>757202.18900000001</v>
      </c>
      <c r="D19" s="37">
        <f>SUM(D20:D25)</f>
        <v>499637.826</v>
      </c>
      <c r="E19" s="37">
        <f>SUM(E20:E25)</f>
        <v>494776.04600000009</v>
      </c>
      <c r="F19" s="39">
        <f t="shared" si="1"/>
        <v>99.026939165330546</v>
      </c>
      <c r="G19" s="39">
        <f t="shared" si="0"/>
        <v>65.342659224668466</v>
      </c>
    </row>
    <row r="20" spans="1:7" s="6" customFormat="1" ht="56.25" customHeight="1" x14ac:dyDescent="0.35">
      <c r="A20" s="86" t="s">
        <v>58</v>
      </c>
      <c r="B20" s="42" t="s">
        <v>78</v>
      </c>
      <c r="C20" s="43">
        <v>2300</v>
      </c>
      <c r="D20" s="70">
        <v>2300</v>
      </c>
      <c r="E20" s="101">
        <v>4325.6450000000004</v>
      </c>
      <c r="F20" s="32">
        <f t="shared" si="1"/>
        <v>188.07152173913045</v>
      </c>
      <c r="G20" s="44">
        <f t="shared" si="0"/>
        <v>188.07152173913045</v>
      </c>
    </row>
    <row r="21" spans="1:7" ht="70.5" customHeight="1" x14ac:dyDescent="0.35">
      <c r="A21" s="86" t="s">
        <v>64</v>
      </c>
      <c r="B21" s="24" t="s">
        <v>31</v>
      </c>
      <c r="C21" s="31">
        <v>622000</v>
      </c>
      <c r="D21" s="70">
        <v>393000</v>
      </c>
      <c r="E21" s="102">
        <v>395667.13500000001</v>
      </c>
      <c r="F21" s="32">
        <f t="shared" si="1"/>
        <v>100.67866030534351</v>
      </c>
      <c r="G21" s="33">
        <f t="shared" si="0"/>
        <v>63.612079581993576</v>
      </c>
    </row>
    <row r="22" spans="1:7" s="8" customFormat="1" ht="57" customHeight="1" x14ac:dyDescent="0.35">
      <c r="A22" s="83" t="s">
        <v>5</v>
      </c>
      <c r="B22" s="24" t="s">
        <v>65</v>
      </c>
      <c r="C22" s="31">
        <v>3000</v>
      </c>
      <c r="D22" s="70">
        <v>2000</v>
      </c>
      <c r="E22" s="102">
        <v>696.03599999999994</v>
      </c>
      <c r="F22" s="32">
        <f t="shared" si="1"/>
        <v>34.8018</v>
      </c>
      <c r="G22" s="33">
        <f t="shared" si="0"/>
        <v>23.201199999999996</v>
      </c>
    </row>
    <row r="23" spans="1:7" ht="54" customHeight="1" x14ac:dyDescent="0.35">
      <c r="A23" s="83" t="s">
        <v>59</v>
      </c>
      <c r="B23" s="24" t="s">
        <v>70</v>
      </c>
      <c r="C23" s="31">
        <v>104879.469</v>
      </c>
      <c r="D23" s="70">
        <v>77997.826000000001</v>
      </c>
      <c r="E23" s="102">
        <v>80844.75</v>
      </c>
      <c r="F23" s="32">
        <f t="shared" si="1"/>
        <v>103.65000429627358</v>
      </c>
      <c r="G23" s="33">
        <f t="shared" si="0"/>
        <v>77.083485233892631</v>
      </c>
    </row>
    <row r="24" spans="1:7" ht="53.25" customHeight="1" x14ac:dyDescent="0.35">
      <c r="A24" s="83" t="s">
        <v>60</v>
      </c>
      <c r="B24" s="24" t="s">
        <v>13</v>
      </c>
      <c r="C24" s="31">
        <v>22600</v>
      </c>
      <c r="D24" s="70">
        <v>22600</v>
      </c>
      <c r="E24" s="102">
        <v>11396.763999999999</v>
      </c>
      <c r="F24" s="32">
        <f t="shared" si="1"/>
        <v>50.428159292035389</v>
      </c>
      <c r="G24" s="33">
        <f t="shared" si="0"/>
        <v>50.428159292035389</v>
      </c>
    </row>
    <row r="25" spans="1:7" ht="61.5" customHeight="1" thickBot="1" x14ac:dyDescent="0.4">
      <c r="A25" s="87" t="s">
        <v>72</v>
      </c>
      <c r="B25" s="24" t="s">
        <v>1</v>
      </c>
      <c r="C25" s="31">
        <v>2422.7199999999998</v>
      </c>
      <c r="D25" s="70">
        <v>1740</v>
      </c>
      <c r="E25" s="102">
        <v>1845.7159999999999</v>
      </c>
      <c r="F25" s="32">
        <f t="shared" si="1"/>
        <v>106.07563218390803</v>
      </c>
      <c r="G25" s="33">
        <f t="shared" si="0"/>
        <v>76.18362831858407</v>
      </c>
    </row>
    <row r="26" spans="1:7" ht="24.75" customHeight="1" thickBot="1" x14ac:dyDescent="0.35">
      <c r="A26" s="81" t="s">
        <v>32</v>
      </c>
      <c r="B26" s="45" t="s">
        <v>79</v>
      </c>
      <c r="C26" s="46">
        <f>C27</f>
        <v>17900</v>
      </c>
      <c r="D26" s="46">
        <f>D27</f>
        <v>13425</v>
      </c>
      <c r="E26" s="37">
        <f>E27</f>
        <v>14474.125</v>
      </c>
      <c r="F26" s="39">
        <f t="shared" si="1"/>
        <v>107.8147113594041</v>
      </c>
      <c r="G26" s="39">
        <f t="shared" si="0"/>
        <v>80.861033519553075</v>
      </c>
    </row>
    <row r="27" spans="1:7" ht="30" customHeight="1" thickBot="1" x14ac:dyDescent="0.4">
      <c r="A27" s="88" t="s">
        <v>61</v>
      </c>
      <c r="B27" s="47" t="s">
        <v>14</v>
      </c>
      <c r="C27" s="48">
        <v>17900</v>
      </c>
      <c r="D27" s="69">
        <v>13425</v>
      </c>
      <c r="E27" s="101">
        <v>14474.125</v>
      </c>
      <c r="F27" s="32">
        <f t="shared" si="1"/>
        <v>107.8147113594041</v>
      </c>
      <c r="G27" s="44">
        <f t="shared" si="0"/>
        <v>80.861033519553075</v>
      </c>
    </row>
    <row r="28" spans="1:7" ht="27.75" customHeight="1" thickBot="1" x14ac:dyDescent="0.35">
      <c r="A28" s="85" t="s">
        <v>48</v>
      </c>
      <c r="B28" s="49" t="s">
        <v>80</v>
      </c>
      <c r="C28" s="37">
        <v>11991</v>
      </c>
      <c r="D28" s="37">
        <v>11991</v>
      </c>
      <c r="E28" s="37">
        <v>12371.921</v>
      </c>
      <c r="F28" s="39">
        <f t="shared" si="1"/>
        <v>103.17672420982404</v>
      </c>
      <c r="G28" s="39">
        <f t="shared" si="0"/>
        <v>103.17672420982404</v>
      </c>
    </row>
    <row r="29" spans="1:7" ht="21" customHeight="1" thickBot="1" x14ac:dyDescent="0.35">
      <c r="A29" s="81" t="s">
        <v>33</v>
      </c>
      <c r="B29" s="45" t="s">
        <v>47</v>
      </c>
      <c r="C29" s="46">
        <f>SUM(C30:C36)</f>
        <v>174331.83</v>
      </c>
      <c r="D29" s="46">
        <f t="shared" ref="D29" si="2">SUM(D30:D36)</f>
        <v>118441</v>
      </c>
      <c r="E29" s="46">
        <f>SUM(E30:E36)</f>
        <v>130105.19499999999</v>
      </c>
      <c r="F29" s="39">
        <f t="shared" si="1"/>
        <v>109.84810580795501</v>
      </c>
      <c r="G29" s="39">
        <f t="shared" si="0"/>
        <v>74.630774540713546</v>
      </c>
    </row>
    <row r="30" spans="1:7" ht="28.5" customHeight="1" x14ac:dyDescent="0.35">
      <c r="A30" s="86" t="s">
        <v>62</v>
      </c>
      <c r="B30" s="22" t="s">
        <v>34</v>
      </c>
      <c r="C30" s="28">
        <v>23446.6</v>
      </c>
      <c r="D30" s="70">
        <v>17610</v>
      </c>
      <c r="E30" s="100">
        <v>18317.566999999999</v>
      </c>
      <c r="F30" s="32">
        <f t="shared" si="1"/>
        <v>104.01798409994321</v>
      </c>
      <c r="G30" s="30">
        <f t="shared" si="0"/>
        <v>78.124619347794564</v>
      </c>
    </row>
    <row r="31" spans="1:7" ht="67.5" customHeight="1" x14ac:dyDescent="0.35">
      <c r="A31" s="83" t="s">
        <v>98</v>
      </c>
      <c r="B31" s="4" t="s">
        <v>97</v>
      </c>
      <c r="C31" s="28">
        <v>0</v>
      </c>
      <c r="D31" s="70">
        <v>0</v>
      </c>
      <c r="E31" s="100">
        <v>0.8</v>
      </c>
      <c r="F31" s="32">
        <v>0</v>
      </c>
      <c r="G31" s="30">
        <v>0</v>
      </c>
    </row>
    <row r="32" spans="1:7" ht="77.25" customHeight="1" x14ac:dyDescent="0.35">
      <c r="A32" s="83" t="s">
        <v>99</v>
      </c>
      <c r="B32" s="5" t="s">
        <v>71</v>
      </c>
      <c r="C32" s="28">
        <v>0</v>
      </c>
      <c r="D32" s="70">
        <v>0</v>
      </c>
      <c r="E32" s="100">
        <v>242.369</v>
      </c>
      <c r="F32" s="32">
        <v>0</v>
      </c>
      <c r="G32" s="30">
        <v>0</v>
      </c>
    </row>
    <row r="33" spans="1:7" ht="69.75" customHeight="1" x14ac:dyDescent="0.35">
      <c r="A33" s="83" t="s">
        <v>66</v>
      </c>
      <c r="B33" s="24" t="s">
        <v>71</v>
      </c>
      <c r="C33" s="31">
        <v>107225.23</v>
      </c>
      <c r="D33" s="70">
        <v>59171</v>
      </c>
      <c r="E33" s="102">
        <v>61235.894999999997</v>
      </c>
      <c r="F33" s="32">
        <f t="shared" si="1"/>
        <v>103.48970779604873</v>
      </c>
      <c r="G33" s="33">
        <f t="shared" si="0"/>
        <v>57.109595381609346</v>
      </c>
    </row>
    <row r="34" spans="1:7" ht="69.75" customHeight="1" x14ac:dyDescent="0.35">
      <c r="A34" s="83" t="s">
        <v>73</v>
      </c>
      <c r="B34" s="24" t="s">
        <v>74</v>
      </c>
      <c r="C34" s="31">
        <v>0</v>
      </c>
      <c r="D34" s="70">
        <v>0</v>
      </c>
      <c r="E34" s="103">
        <v>131.465</v>
      </c>
      <c r="F34" s="51">
        <v>0</v>
      </c>
      <c r="G34" s="36">
        <v>0</v>
      </c>
    </row>
    <row r="35" spans="1:7" ht="32.25" customHeight="1" x14ac:dyDescent="0.35">
      <c r="A35" s="84" t="s">
        <v>63</v>
      </c>
      <c r="B35" s="93" t="s">
        <v>35</v>
      </c>
      <c r="C35" s="35">
        <v>38000</v>
      </c>
      <c r="D35" s="72">
        <v>36000</v>
      </c>
      <c r="E35" s="103">
        <v>44517.099000000002</v>
      </c>
      <c r="F35" s="51">
        <f t="shared" si="1"/>
        <v>123.65860833333333</v>
      </c>
      <c r="G35" s="36">
        <f t="shared" si="0"/>
        <v>117.15026052631579</v>
      </c>
    </row>
    <row r="36" spans="1:7" ht="48" customHeight="1" thickBot="1" x14ac:dyDescent="0.4">
      <c r="A36" s="84" t="s">
        <v>93</v>
      </c>
      <c r="B36" s="50" t="s">
        <v>94</v>
      </c>
      <c r="C36" s="94">
        <v>5660</v>
      </c>
      <c r="D36" s="95">
        <v>5660</v>
      </c>
      <c r="E36" s="104">
        <v>5660</v>
      </c>
      <c r="F36" s="51">
        <f t="shared" ref="F36" si="3">E36/D36*100</f>
        <v>100</v>
      </c>
      <c r="G36" s="36">
        <f t="shared" ref="G36" si="4">E36/C36*100</f>
        <v>100</v>
      </c>
    </row>
    <row r="37" spans="1:7" ht="24.75" customHeight="1" thickBot="1" x14ac:dyDescent="0.35">
      <c r="A37" s="81" t="s">
        <v>36</v>
      </c>
      <c r="B37" s="49" t="s">
        <v>15</v>
      </c>
      <c r="C37" s="37">
        <v>47962</v>
      </c>
      <c r="D37" s="38">
        <v>40835.1</v>
      </c>
      <c r="E37" s="38">
        <v>44859.017999999996</v>
      </c>
      <c r="F37" s="40">
        <f t="shared" si="1"/>
        <v>109.85406672201121</v>
      </c>
      <c r="G37" s="39">
        <f t="shared" si="0"/>
        <v>93.530332346440929</v>
      </c>
    </row>
    <row r="38" spans="1:7" s="6" customFormat="1" ht="55.5" hidden="1" customHeight="1" x14ac:dyDescent="0.35">
      <c r="A38" s="83" t="s">
        <v>4</v>
      </c>
      <c r="B38" s="52" t="s">
        <v>54</v>
      </c>
      <c r="C38" s="28">
        <v>0</v>
      </c>
      <c r="D38" s="74">
        <v>0</v>
      </c>
      <c r="E38" s="105">
        <v>0</v>
      </c>
      <c r="F38" s="53" t="e">
        <f t="shared" si="1"/>
        <v>#DIV/0!</v>
      </c>
      <c r="G38" s="30" t="e">
        <f t="shared" si="0"/>
        <v>#DIV/0!</v>
      </c>
    </row>
    <row r="39" spans="1:7" ht="23.25" customHeight="1" thickBot="1" x14ac:dyDescent="0.35">
      <c r="A39" s="81" t="s">
        <v>49</v>
      </c>
      <c r="B39" s="49" t="s">
        <v>50</v>
      </c>
      <c r="C39" s="54">
        <v>14687.2</v>
      </c>
      <c r="D39" s="75">
        <v>14687.2</v>
      </c>
      <c r="E39" s="75">
        <v>15888.210999999999</v>
      </c>
      <c r="F39" s="55">
        <f t="shared" si="1"/>
        <v>108.17726319516312</v>
      </c>
      <c r="G39" s="55">
        <f t="shared" si="0"/>
        <v>108.17726319516312</v>
      </c>
    </row>
    <row r="40" spans="1:7" ht="27" customHeight="1" thickBot="1" x14ac:dyDescent="0.35">
      <c r="A40" s="89" t="s">
        <v>37</v>
      </c>
      <c r="B40" s="19" t="s">
        <v>18</v>
      </c>
      <c r="C40" s="46">
        <f>C41+C46+C48+C50</f>
        <v>6245962.3649999984</v>
      </c>
      <c r="D40" s="46">
        <f>D41+D46+D48+D50</f>
        <v>4549245.8489999995</v>
      </c>
      <c r="E40" s="37">
        <f>SUM(E41,E46,E48,E50)</f>
        <v>4548993.5379999997</v>
      </c>
      <c r="F40" s="39">
        <f t="shared" si="1"/>
        <v>99.994453784025424</v>
      </c>
      <c r="G40" s="39">
        <f t="shared" si="0"/>
        <v>72.83094697289296</v>
      </c>
    </row>
    <row r="41" spans="1:7" ht="30" customHeight="1" thickBot="1" x14ac:dyDescent="0.4">
      <c r="A41" s="90" t="s">
        <v>81</v>
      </c>
      <c r="B41" s="56" t="s">
        <v>53</v>
      </c>
      <c r="C41" s="37">
        <f>SUM(C42:C45)</f>
        <v>6246830.2839999991</v>
      </c>
      <c r="D41" s="71">
        <f>SUM(D42:D45)</f>
        <v>4550113.7680000002</v>
      </c>
      <c r="E41" s="71">
        <f>E42+E43+E44+E45</f>
        <v>4550113.7680000002</v>
      </c>
      <c r="F41" s="57">
        <f t="shared" si="1"/>
        <v>100</v>
      </c>
      <c r="G41" s="57">
        <f t="shared" si="0"/>
        <v>72.838760797683307</v>
      </c>
    </row>
    <row r="42" spans="1:7" ht="30" customHeight="1" thickBot="1" x14ac:dyDescent="0.4">
      <c r="A42" s="76" t="s">
        <v>89</v>
      </c>
      <c r="B42" s="58" t="s">
        <v>38</v>
      </c>
      <c r="C42" s="48">
        <v>618807.69999999995</v>
      </c>
      <c r="D42" s="71">
        <v>560002</v>
      </c>
      <c r="E42" s="71">
        <v>560002</v>
      </c>
      <c r="F42" s="59">
        <f t="shared" si="1"/>
        <v>100</v>
      </c>
      <c r="G42" s="59">
        <f t="shared" si="0"/>
        <v>90.496934669688173</v>
      </c>
    </row>
    <row r="43" spans="1:7" ht="37.5" customHeight="1" thickBot="1" x14ac:dyDescent="0.4">
      <c r="A43" s="77" t="s">
        <v>90</v>
      </c>
      <c r="B43" s="60" t="s">
        <v>39</v>
      </c>
      <c r="C43" s="48">
        <v>1334817.1000000001</v>
      </c>
      <c r="D43" s="71">
        <v>816225.27</v>
      </c>
      <c r="E43" s="71">
        <v>816225.27</v>
      </c>
      <c r="F43" s="59">
        <f t="shared" si="1"/>
        <v>100</v>
      </c>
      <c r="G43" s="59">
        <f t="shared" si="0"/>
        <v>61.148847284021159</v>
      </c>
    </row>
    <row r="44" spans="1:7" ht="28.5" customHeight="1" thickBot="1" x14ac:dyDescent="0.4">
      <c r="A44" s="76" t="s">
        <v>91</v>
      </c>
      <c r="B44" s="58" t="s">
        <v>40</v>
      </c>
      <c r="C44" s="48">
        <v>4223308.0999999996</v>
      </c>
      <c r="D44" s="71">
        <v>3108380.9509999999</v>
      </c>
      <c r="E44" s="71">
        <v>3108380.9509999999</v>
      </c>
      <c r="F44" s="59">
        <f t="shared" si="1"/>
        <v>100</v>
      </c>
      <c r="G44" s="59">
        <f t="shared" si="0"/>
        <v>73.600620115780799</v>
      </c>
    </row>
    <row r="45" spans="1:7" ht="24" customHeight="1" thickBot="1" x14ac:dyDescent="0.4">
      <c r="A45" s="76" t="s">
        <v>92</v>
      </c>
      <c r="B45" s="58" t="s">
        <v>41</v>
      </c>
      <c r="C45" s="48">
        <v>69897.384000000005</v>
      </c>
      <c r="D45" s="71">
        <v>65505.546999999999</v>
      </c>
      <c r="E45" s="71">
        <v>65505.546999999999</v>
      </c>
      <c r="F45" s="59">
        <f t="shared" si="1"/>
        <v>100</v>
      </c>
      <c r="G45" s="59">
        <f t="shared" si="0"/>
        <v>93.716736237224552</v>
      </c>
    </row>
    <row r="46" spans="1:7" ht="24.75" customHeight="1" thickBot="1" x14ac:dyDescent="0.35">
      <c r="A46" s="91" t="s">
        <v>83</v>
      </c>
      <c r="B46" s="19" t="s">
        <v>51</v>
      </c>
      <c r="C46" s="46">
        <f>C47</f>
        <v>32233.271000000001</v>
      </c>
      <c r="D46" s="46">
        <f>D47</f>
        <v>32233.271000000001</v>
      </c>
      <c r="E46" s="37">
        <f>E47</f>
        <v>32233.271000000001</v>
      </c>
      <c r="F46" s="39">
        <f t="shared" si="1"/>
        <v>100</v>
      </c>
      <c r="G46" s="39">
        <f t="shared" si="0"/>
        <v>100</v>
      </c>
    </row>
    <row r="47" spans="1:7" ht="24" customHeight="1" thickBot="1" x14ac:dyDescent="0.4">
      <c r="A47" s="92" t="s">
        <v>82</v>
      </c>
      <c r="B47" s="42" t="s">
        <v>52</v>
      </c>
      <c r="C47" s="43">
        <v>32233.271000000001</v>
      </c>
      <c r="D47" s="72">
        <v>32233.271000000001</v>
      </c>
      <c r="E47" s="72">
        <v>32233.271000000001</v>
      </c>
      <c r="F47" s="51">
        <f t="shared" si="1"/>
        <v>100</v>
      </c>
      <c r="G47" s="44">
        <f t="shared" si="0"/>
        <v>100</v>
      </c>
    </row>
    <row r="48" spans="1:7" ht="70.5" customHeight="1" thickBot="1" x14ac:dyDescent="0.35">
      <c r="A48" s="91" t="s">
        <v>84</v>
      </c>
      <c r="B48" s="45" t="s">
        <v>85</v>
      </c>
      <c r="C48" s="38">
        <f>C49</f>
        <v>0</v>
      </c>
      <c r="D48" s="38">
        <f>D49</f>
        <v>0</v>
      </c>
      <c r="E48" s="37">
        <f>E49</f>
        <v>581.09</v>
      </c>
      <c r="F48" s="40">
        <v>0</v>
      </c>
      <c r="G48" s="39">
        <v>0</v>
      </c>
    </row>
    <row r="49" spans="1:7" ht="36" customHeight="1" thickBot="1" x14ac:dyDescent="0.4">
      <c r="A49" s="92" t="s">
        <v>67</v>
      </c>
      <c r="B49" s="61" t="s">
        <v>86</v>
      </c>
      <c r="C49" s="62">
        <v>0</v>
      </c>
      <c r="D49" s="73">
        <v>0</v>
      </c>
      <c r="E49" s="101">
        <v>581.09</v>
      </c>
      <c r="F49" s="63">
        <v>0</v>
      </c>
      <c r="G49" s="44">
        <v>0</v>
      </c>
    </row>
    <row r="50" spans="1:7" ht="36" customHeight="1" thickBot="1" x14ac:dyDescent="0.35">
      <c r="A50" s="91" t="s">
        <v>87</v>
      </c>
      <c r="B50" s="45" t="s">
        <v>2</v>
      </c>
      <c r="C50" s="37">
        <f>C51</f>
        <v>-33101.19</v>
      </c>
      <c r="D50" s="37">
        <f>D51</f>
        <v>-33101.19</v>
      </c>
      <c r="E50" s="37">
        <f>E51</f>
        <v>-33934.591</v>
      </c>
      <c r="F50" s="39">
        <f t="shared" si="1"/>
        <v>102.51773727772324</v>
      </c>
      <c r="G50" s="39">
        <f t="shared" si="0"/>
        <v>102.51773727772324</v>
      </c>
    </row>
    <row r="51" spans="1:7" ht="41.25" customHeight="1" thickBot="1" x14ac:dyDescent="0.4">
      <c r="A51" s="92" t="s">
        <v>88</v>
      </c>
      <c r="B51" s="61" t="s">
        <v>0</v>
      </c>
      <c r="C51" s="43">
        <v>-33101.19</v>
      </c>
      <c r="D51" s="73">
        <v>-33101.19</v>
      </c>
      <c r="E51" s="101">
        <v>-33934.591</v>
      </c>
      <c r="F51" s="51">
        <f t="shared" si="1"/>
        <v>102.51773727772324</v>
      </c>
      <c r="G51" s="44">
        <f t="shared" si="0"/>
        <v>102.51773727772324</v>
      </c>
    </row>
    <row r="52" spans="1:7" ht="23.25" customHeight="1" thickBot="1" x14ac:dyDescent="0.35">
      <c r="A52" s="27"/>
      <c r="B52" s="19" t="s">
        <v>16</v>
      </c>
      <c r="C52" s="37">
        <f>SUM(C7,C40)</f>
        <v>12712652.464</v>
      </c>
      <c r="D52" s="46">
        <f>SUM(D7,D40)</f>
        <v>9159140.8649999984</v>
      </c>
      <c r="E52" s="37">
        <f>SUM(E7,E40)</f>
        <v>9154838.2939999998</v>
      </c>
      <c r="F52" s="39">
        <f t="shared" si="1"/>
        <v>99.953024294926607</v>
      </c>
      <c r="G52" s="39">
        <f t="shared" si="0"/>
        <v>72.013596847116645</v>
      </c>
    </row>
    <row r="53" spans="1:7" x14ac:dyDescent="0.25">
      <c r="C53" s="10"/>
      <c r="D53" s="10"/>
      <c r="E53" s="65"/>
      <c r="F53" s="10"/>
    </row>
    <row r="54" spans="1:7" x14ac:dyDescent="0.25">
      <c r="C54" s="10"/>
      <c r="D54" s="10"/>
      <c r="E54" s="65"/>
      <c r="F54" s="10"/>
    </row>
    <row r="55" spans="1:7" x14ac:dyDescent="0.25">
      <c r="B55" s="7"/>
      <c r="C55" s="10"/>
      <c r="D55" s="10"/>
      <c r="E55" s="65"/>
      <c r="F55" s="10"/>
    </row>
    <row r="56" spans="1:7" x14ac:dyDescent="0.25">
      <c r="B56" s="7"/>
      <c r="C56" s="10"/>
      <c r="D56" s="10"/>
      <c r="E56" s="65"/>
      <c r="F56" s="10"/>
    </row>
    <row r="57" spans="1:7" x14ac:dyDescent="0.25">
      <c r="B57" s="7"/>
      <c r="C57" s="10"/>
      <c r="D57" s="10"/>
      <c r="E57" s="65"/>
      <c r="F57" s="10"/>
    </row>
    <row r="58" spans="1:7" x14ac:dyDescent="0.25">
      <c r="C58" s="10"/>
      <c r="D58" s="10"/>
      <c r="E58" s="65"/>
      <c r="F58" s="10"/>
    </row>
    <row r="59" spans="1:7" x14ac:dyDescent="0.25">
      <c r="C59" s="10"/>
      <c r="D59" s="10"/>
      <c r="E59" s="65"/>
      <c r="F59" s="10"/>
    </row>
    <row r="60" spans="1:7" x14ac:dyDescent="0.25">
      <c r="C60" s="10"/>
      <c r="D60" s="10"/>
      <c r="E60" s="65"/>
      <c r="F60" s="10"/>
    </row>
  </sheetData>
  <mergeCells count="10">
    <mergeCell ref="F5:F6"/>
    <mergeCell ref="A1:G1"/>
    <mergeCell ref="A2:G2"/>
    <mergeCell ref="A3:G3"/>
    <mergeCell ref="A5:A6"/>
    <mergeCell ref="B5:B6"/>
    <mergeCell ref="C5:C6"/>
    <mergeCell ref="D5:D6"/>
    <mergeCell ref="E5:E6"/>
    <mergeCell ref="G5:G6"/>
  </mergeCells>
  <phoneticPr fontId="3" type="noConversion"/>
  <printOptions horizontalCentered="1" verticalCentered="1"/>
  <pageMargins left="0.11811023622047245" right="0.11811023622047245" top="0.59055118110236227" bottom="0.19685039370078741" header="0.59055118110236227" footer="0.19685039370078741"/>
  <pageSetup paperSize="9" scale="55" orientation="landscape" r:id="rId1"/>
  <headerFooter alignWithMargins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workbookViewId="0">
      <selection sqref="A1:XFD1048576"/>
    </sheetView>
  </sheetViews>
  <sheetFormatPr defaultColWidth="9.109375" defaultRowHeight="15.6" x14ac:dyDescent="0.3"/>
  <cols>
    <col min="1" max="1" width="84" style="210" customWidth="1"/>
    <col min="2" max="2" width="8.109375" style="210" customWidth="1"/>
    <col min="3" max="3" width="9.5546875" style="210" customWidth="1"/>
    <col min="4" max="4" width="14.5546875" style="210" customWidth="1"/>
    <col min="5" max="5" width="15" style="210" customWidth="1"/>
    <col min="6" max="6" width="12.44140625" style="214" customWidth="1"/>
    <col min="7" max="8" width="13.6640625" style="214" hidden="1" customWidth="1"/>
    <col min="9" max="9" width="12" style="214" hidden="1" customWidth="1"/>
    <col min="10" max="10" width="13.88671875" style="214" customWidth="1"/>
    <col min="11" max="11" width="13.6640625" style="214" customWidth="1"/>
    <col min="12" max="12" width="13.5546875" style="214" customWidth="1"/>
    <col min="13" max="13" width="10.33203125" style="214" customWidth="1"/>
    <col min="14" max="14" width="10.109375" style="214" customWidth="1"/>
    <col min="15" max="15" width="10.5546875" style="214" customWidth="1"/>
    <col min="16" max="16" width="9.88671875" style="214" hidden="1" customWidth="1"/>
    <col min="17" max="17" width="9" style="214" hidden="1" customWidth="1"/>
    <col min="18" max="18" width="10.6640625" style="214" hidden="1" customWidth="1"/>
    <col min="19" max="256" width="9.109375" style="116"/>
    <col min="257" max="257" width="84" style="116" customWidth="1"/>
    <col min="258" max="258" width="8.109375" style="116" customWidth="1"/>
    <col min="259" max="259" width="9.5546875" style="116" customWidth="1"/>
    <col min="260" max="260" width="14.5546875" style="116" customWidth="1"/>
    <col min="261" max="261" width="15" style="116" customWidth="1"/>
    <col min="262" max="262" width="12.44140625" style="116" customWidth="1"/>
    <col min="263" max="265" width="0" style="116" hidden="1" customWidth="1"/>
    <col min="266" max="266" width="13.88671875" style="116" customWidth="1"/>
    <col min="267" max="267" width="13.6640625" style="116" customWidth="1"/>
    <col min="268" max="268" width="13.5546875" style="116" customWidth="1"/>
    <col min="269" max="269" width="10.33203125" style="116" customWidth="1"/>
    <col min="270" max="270" width="10.109375" style="116" customWidth="1"/>
    <col min="271" max="271" width="10.5546875" style="116" customWidth="1"/>
    <col min="272" max="274" width="0" style="116" hidden="1" customWidth="1"/>
    <col min="275" max="512" width="9.109375" style="116"/>
    <col min="513" max="513" width="84" style="116" customWidth="1"/>
    <col min="514" max="514" width="8.109375" style="116" customWidth="1"/>
    <col min="515" max="515" width="9.5546875" style="116" customWidth="1"/>
    <col min="516" max="516" width="14.5546875" style="116" customWidth="1"/>
    <col min="517" max="517" width="15" style="116" customWidth="1"/>
    <col min="518" max="518" width="12.44140625" style="116" customWidth="1"/>
    <col min="519" max="521" width="0" style="116" hidden="1" customWidth="1"/>
    <col min="522" max="522" width="13.88671875" style="116" customWidth="1"/>
    <col min="523" max="523" width="13.6640625" style="116" customWidth="1"/>
    <col min="524" max="524" width="13.5546875" style="116" customWidth="1"/>
    <col min="525" max="525" width="10.33203125" style="116" customWidth="1"/>
    <col min="526" max="526" width="10.109375" style="116" customWidth="1"/>
    <col min="527" max="527" width="10.5546875" style="116" customWidth="1"/>
    <col min="528" max="530" width="0" style="116" hidden="1" customWidth="1"/>
    <col min="531" max="768" width="9.109375" style="116"/>
    <col min="769" max="769" width="84" style="116" customWidth="1"/>
    <col min="770" max="770" width="8.109375" style="116" customWidth="1"/>
    <col min="771" max="771" width="9.5546875" style="116" customWidth="1"/>
    <col min="772" max="772" width="14.5546875" style="116" customWidth="1"/>
    <col min="773" max="773" width="15" style="116" customWidth="1"/>
    <col min="774" max="774" width="12.44140625" style="116" customWidth="1"/>
    <col min="775" max="777" width="0" style="116" hidden="1" customWidth="1"/>
    <col min="778" max="778" width="13.88671875" style="116" customWidth="1"/>
    <col min="779" max="779" width="13.6640625" style="116" customWidth="1"/>
    <col min="780" max="780" width="13.5546875" style="116" customWidth="1"/>
    <col min="781" max="781" width="10.33203125" style="116" customWidth="1"/>
    <col min="782" max="782" width="10.109375" style="116" customWidth="1"/>
    <col min="783" max="783" width="10.5546875" style="116" customWidth="1"/>
    <col min="784" max="786" width="0" style="116" hidden="1" customWidth="1"/>
    <col min="787" max="1024" width="9.109375" style="116"/>
    <col min="1025" max="1025" width="84" style="116" customWidth="1"/>
    <col min="1026" max="1026" width="8.109375" style="116" customWidth="1"/>
    <col min="1027" max="1027" width="9.5546875" style="116" customWidth="1"/>
    <col min="1028" max="1028" width="14.5546875" style="116" customWidth="1"/>
    <col min="1029" max="1029" width="15" style="116" customWidth="1"/>
    <col min="1030" max="1030" width="12.44140625" style="116" customWidth="1"/>
    <col min="1031" max="1033" width="0" style="116" hidden="1" customWidth="1"/>
    <col min="1034" max="1034" width="13.88671875" style="116" customWidth="1"/>
    <col min="1035" max="1035" width="13.6640625" style="116" customWidth="1"/>
    <col min="1036" max="1036" width="13.5546875" style="116" customWidth="1"/>
    <col min="1037" max="1037" width="10.33203125" style="116" customWidth="1"/>
    <col min="1038" max="1038" width="10.109375" style="116" customWidth="1"/>
    <col min="1039" max="1039" width="10.5546875" style="116" customWidth="1"/>
    <col min="1040" max="1042" width="0" style="116" hidden="1" customWidth="1"/>
    <col min="1043" max="1280" width="9.109375" style="116"/>
    <col min="1281" max="1281" width="84" style="116" customWidth="1"/>
    <col min="1282" max="1282" width="8.109375" style="116" customWidth="1"/>
    <col min="1283" max="1283" width="9.5546875" style="116" customWidth="1"/>
    <col min="1284" max="1284" width="14.5546875" style="116" customWidth="1"/>
    <col min="1285" max="1285" width="15" style="116" customWidth="1"/>
    <col min="1286" max="1286" width="12.44140625" style="116" customWidth="1"/>
    <col min="1287" max="1289" width="0" style="116" hidden="1" customWidth="1"/>
    <col min="1290" max="1290" width="13.88671875" style="116" customWidth="1"/>
    <col min="1291" max="1291" width="13.6640625" style="116" customWidth="1"/>
    <col min="1292" max="1292" width="13.5546875" style="116" customWidth="1"/>
    <col min="1293" max="1293" width="10.33203125" style="116" customWidth="1"/>
    <col min="1294" max="1294" width="10.109375" style="116" customWidth="1"/>
    <col min="1295" max="1295" width="10.5546875" style="116" customWidth="1"/>
    <col min="1296" max="1298" width="0" style="116" hidden="1" customWidth="1"/>
    <col min="1299" max="1536" width="9.109375" style="116"/>
    <col min="1537" max="1537" width="84" style="116" customWidth="1"/>
    <col min="1538" max="1538" width="8.109375" style="116" customWidth="1"/>
    <col min="1539" max="1539" width="9.5546875" style="116" customWidth="1"/>
    <col min="1540" max="1540" width="14.5546875" style="116" customWidth="1"/>
    <col min="1541" max="1541" width="15" style="116" customWidth="1"/>
    <col min="1542" max="1542" width="12.44140625" style="116" customWidth="1"/>
    <col min="1543" max="1545" width="0" style="116" hidden="1" customWidth="1"/>
    <col min="1546" max="1546" width="13.88671875" style="116" customWidth="1"/>
    <col min="1547" max="1547" width="13.6640625" style="116" customWidth="1"/>
    <col min="1548" max="1548" width="13.5546875" style="116" customWidth="1"/>
    <col min="1549" max="1549" width="10.33203125" style="116" customWidth="1"/>
    <col min="1550" max="1550" width="10.109375" style="116" customWidth="1"/>
    <col min="1551" max="1551" width="10.5546875" style="116" customWidth="1"/>
    <col min="1552" max="1554" width="0" style="116" hidden="1" customWidth="1"/>
    <col min="1555" max="1792" width="9.109375" style="116"/>
    <col min="1793" max="1793" width="84" style="116" customWidth="1"/>
    <col min="1794" max="1794" width="8.109375" style="116" customWidth="1"/>
    <col min="1795" max="1795" width="9.5546875" style="116" customWidth="1"/>
    <col min="1796" max="1796" width="14.5546875" style="116" customWidth="1"/>
    <col min="1797" max="1797" width="15" style="116" customWidth="1"/>
    <col min="1798" max="1798" width="12.44140625" style="116" customWidth="1"/>
    <col min="1799" max="1801" width="0" style="116" hidden="1" customWidth="1"/>
    <col min="1802" max="1802" width="13.88671875" style="116" customWidth="1"/>
    <col min="1803" max="1803" width="13.6640625" style="116" customWidth="1"/>
    <col min="1804" max="1804" width="13.5546875" style="116" customWidth="1"/>
    <col min="1805" max="1805" width="10.33203125" style="116" customWidth="1"/>
    <col min="1806" max="1806" width="10.109375" style="116" customWidth="1"/>
    <col min="1807" max="1807" width="10.5546875" style="116" customWidth="1"/>
    <col min="1808" max="1810" width="0" style="116" hidden="1" customWidth="1"/>
    <col min="1811" max="2048" width="9.109375" style="116"/>
    <col min="2049" max="2049" width="84" style="116" customWidth="1"/>
    <col min="2050" max="2050" width="8.109375" style="116" customWidth="1"/>
    <col min="2051" max="2051" width="9.5546875" style="116" customWidth="1"/>
    <col min="2052" max="2052" width="14.5546875" style="116" customWidth="1"/>
    <col min="2053" max="2053" width="15" style="116" customWidth="1"/>
    <col min="2054" max="2054" width="12.44140625" style="116" customWidth="1"/>
    <col min="2055" max="2057" width="0" style="116" hidden="1" customWidth="1"/>
    <col min="2058" max="2058" width="13.88671875" style="116" customWidth="1"/>
    <col min="2059" max="2059" width="13.6640625" style="116" customWidth="1"/>
    <col min="2060" max="2060" width="13.5546875" style="116" customWidth="1"/>
    <col min="2061" max="2061" width="10.33203125" style="116" customWidth="1"/>
    <col min="2062" max="2062" width="10.109375" style="116" customWidth="1"/>
    <col min="2063" max="2063" width="10.5546875" style="116" customWidth="1"/>
    <col min="2064" max="2066" width="0" style="116" hidden="1" customWidth="1"/>
    <col min="2067" max="2304" width="9.109375" style="116"/>
    <col min="2305" max="2305" width="84" style="116" customWidth="1"/>
    <col min="2306" max="2306" width="8.109375" style="116" customWidth="1"/>
    <col min="2307" max="2307" width="9.5546875" style="116" customWidth="1"/>
    <col min="2308" max="2308" width="14.5546875" style="116" customWidth="1"/>
    <col min="2309" max="2309" width="15" style="116" customWidth="1"/>
    <col min="2310" max="2310" width="12.44140625" style="116" customWidth="1"/>
    <col min="2311" max="2313" width="0" style="116" hidden="1" customWidth="1"/>
    <col min="2314" max="2314" width="13.88671875" style="116" customWidth="1"/>
    <col min="2315" max="2315" width="13.6640625" style="116" customWidth="1"/>
    <col min="2316" max="2316" width="13.5546875" style="116" customWidth="1"/>
    <col min="2317" max="2317" width="10.33203125" style="116" customWidth="1"/>
    <col min="2318" max="2318" width="10.109375" style="116" customWidth="1"/>
    <col min="2319" max="2319" width="10.5546875" style="116" customWidth="1"/>
    <col min="2320" max="2322" width="0" style="116" hidden="1" customWidth="1"/>
    <col min="2323" max="2560" width="9.109375" style="116"/>
    <col min="2561" max="2561" width="84" style="116" customWidth="1"/>
    <col min="2562" max="2562" width="8.109375" style="116" customWidth="1"/>
    <col min="2563" max="2563" width="9.5546875" style="116" customWidth="1"/>
    <col min="2564" max="2564" width="14.5546875" style="116" customWidth="1"/>
    <col min="2565" max="2565" width="15" style="116" customWidth="1"/>
    <col min="2566" max="2566" width="12.44140625" style="116" customWidth="1"/>
    <col min="2567" max="2569" width="0" style="116" hidden="1" customWidth="1"/>
    <col min="2570" max="2570" width="13.88671875" style="116" customWidth="1"/>
    <col min="2571" max="2571" width="13.6640625" style="116" customWidth="1"/>
    <col min="2572" max="2572" width="13.5546875" style="116" customWidth="1"/>
    <col min="2573" max="2573" width="10.33203125" style="116" customWidth="1"/>
    <col min="2574" max="2574" width="10.109375" style="116" customWidth="1"/>
    <col min="2575" max="2575" width="10.5546875" style="116" customWidth="1"/>
    <col min="2576" max="2578" width="0" style="116" hidden="1" customWidth="1"/>
    <col min="2579" max="2816" width="9.109375" style="116"/>
    <col min="2817" max="2817" width="84" style="116" customWidth="1"/>
    <col min="2818" max="2818" width="8.109375" style="116" customWidth="1"/>
    <col min="2819" max="2819" width="9.5546875" style="116" customWidth="1"/>
    <col min="2820" max="2820" width="14.5546875" style="116" customWidth="1"/>
    <col min="2821" max="2821" width="15" style="116" customWidth="1"/>
    <col min="2822" max="2822" width="12.44140625" style="116" customWidth="1"/>
    <col min="2823" max="2825" width="0" style="116" hidden="1" customWidth="1"/>
    <col min="2826" max="2826" width="13.88671875" style="116" customWidth="1"/>
    <col min="2827" max="2827" width="13.6640625" style="116" customWidth="1"/>
    <col min="2828" max="2828" width="13.5546875" style="116" customWidth="1"/>
    <col min="2829" max="2829" width="10.33203125" style="116" customWidth="1"/>
    <col min="2830" max="2830" width="10.109375" style="116" customWidth="1"/>
    <col min="2831" max="2831" width="10.5546875" style="116" customWidth="1"/>
    <col min="2832" max="2834" width="0" style="116" hidden="1" customWidth="1"/>
    <col min="2835" max="3072" width="9.109375" style="116"/>
    <col min="3073" max="3073" width="84" style="116" customWidth="1"/>
    <col min="3074" max="3074" width="8.109375" style="116" customWidth="1"/>
    <col min="3075" max="3075" width="9.5546875" style="116" customWidth="1"/>
    <col min="3076" max="3076" width="14.5546875" style="116" customWidth="1"/>
    <col min="3077" max="3077" width="15" style="116" customWidth="1"/>
    <col min="3078" max="3078" width="12.44140625" style="116" customWidth="1"/>
    <col min="3079" max="3081" width="0" style="116" hidden="1" customWidth="1"/>
    <col min="3082" max="3082" width="13.88671875" style="116" customWidth="1"/>
    <col min="3083" max="3083" width="13.6640625" style="116" customWidth="1"/>
    <col min="3084" max="3084" width="13.5546875" style="116" customWidth="1"/>
    <col min="3085" max="3085" width="10.33203125" style="116" customWidth="1"/>
    <col min="3086" max="3086" width="10.109375" style="116" customWidth="1"/>
    <col min="3087" max="3087" width="10.5546875" style="116" customWidth="1"/>
    <col min="3088" max="3090" width="0" style="116" hidden="1" customWidth="1"/>
    <col min="3091" max="3328" width="9.109375" style="116"/>
    <col min="3329" max="3329" width="84" style="116" customWidth="1"/>
    <col min="3330" max="3330" width="8.109375" style="116" customWidth="1"/>
    <col min="3331" max="3331" width="9.5546875" style="116" customWidth="1"/>
    <col min="3332" max="3332" width="14.5546875" style="116" customWidth="1"/>
    <col min="3333" max="3333" width="15" style="116" customWidth="1"/>
    <col min="3334" max="3334" width="12.44140625" style="116" customWidth="1"/>
    <col min="3335" max="3337" width="0" style="116" hidden="1" customWidth="1"/>
    <col min="3338" max="3338" width="13.88671875" style="116" customWidth="1"/>
    <col min="3339" max="3339" width="13.6640625" style="116" customWidth="1"/>
    <col min="3340" max="3340" width="13.5546875" style="116" customWidth="1"/>
    <col min="3341" max="3341" width="10.33203125" style="116" customWidth="1"/>
    <col min="3342" max="3342" width="10.109375" style="116" customWidth="1"/>
    <col min="3343" max="3343" width="10.5546875" style="116" customWidth="1"/>
    <col min="3344" max="3346" width="0" style="116" hidden="1" customWidth="1"/>
    <col min="3347" max="3584" width="9.109375" style="116"/>
    <col min="3585" max="3585" width="84" style="116" customWidth="1"/>
    <col min="3586" max="3586" width="8.109375" style="116" customWidth="1"/>
    <col min="3587" max="3587" width="9.5546875" style="116" customWidth="1"/>
    <col min="3588" max="3588" width="14.5546875" style="116" customWidth="1"/>
    <col min="3589" max="3589" width="15" style="116" customWidth="1"/>
    <col min="3590" max="3590" width="12.44140625" style="116" customWidth="1"/>
    <col min="3591" max="3593" width="0" style="116" hidden="1" customWidth="1"/>
    <col min="3594" max="3594" width="13.88671875" style="116" customWidth="1"/>
    <col min="3595" max="3595" width="13.6640625" style="116" customWidth="1"/>
    <col min="3596" max="3596" width="13.5546875" style="116" customWidth="1"/>
    <col min="3597" max="3597" width="10.33203125" style="116" customWidth="1"/>
    <col min="3598" max="3598" width="10.109375" style="116" customWidth="1"/>
    <col min="3599" max="3599" width="10.5546875" style="116" customWidth="1"/>
    <col min="3600" max="3602" width="0" style="116" hidden="1" customWidth="1"/>
    <col min="3603" max="3840" width="9.109375" style="116"/>
    <col min="3841" max="3841" width="84" style="116" customWidth="1"/>
    <col min="3842" max="3842" width="8.109375" style="116" customWidth="1"/>
    <col min="3843" max="3843" width="9.5546875" style="116" customWidth="1"/>
    <col min="3844" max="3844" width="14.5546875" style="116" customWidth="1"/>
    <col min="3845" max="3845" width="15" style="116" customWidth="1"/>
    <col min="3846" max="3846" width="12.44140625" style="116" customWidth="1"/>
    <col min="3847" max="3849" width="0" style="116" hidden="1" customWidth="1"/>
    <col min="3850" max="3850" width="13.88671875" style="116" customWidth="1"/>
    <col min="3851" max="3851" width="13.6640625" style="116" customWidth="1"/>
    <col min="3852" max="3852" width="13.5546875" style="116" customWidth="1"/>
    <col min="3853" max="3853" width="10.33203125" style="116" customWidth="1"/>
    <col min="3854" max="3854" width="10.109375" style="116" customWidth="1"/>
    <col min="3855" max="3855" width="10.5546875" style="116" customWidth="1"/>
    <col min="3856" max="3858" width="0" style="116" hidden="1" customWidth="1"/>
    <col min="3859" max="4096" width="9.109375" style="116"/>
    <col min="4097" max="4097" width="84" style="116" customWidth="1"/>
    <col min="4098" max="4098" width="8.109375" style="116" customWidth="1"/>
    <col min="4099" max="4099" width="9.5546875" style="116" customWidth="1"/>
    <col min="4100" max="4100" width="14.5546875" style="116" customWidth="1"/>
    <col min="4101" max="4101" width="15" style="116" customWidth="1"/>
    <col min="4102" max="4102" width="12.44140625" style="116" customWidth="1"/>
    <col min="4103" max="4105" width="0" style="116" hidden="1" customWidth="1"/>
    <col min="4106" max="4106" width="13.88671875" style="116" customWidth="1"/>
    <col min="4107" max="4107" width="13.6640625" style="116" customWidth="1"/>
    <col min="4108" max="4108" width="13.5546875" style="116" customWidth="1"/>
    <col min="4109" max="4109" width="10.33203125" style="116" customWidth="1"/>
    <col min="4110" max="4110" width="10.109375" style="116" customWidth="1"/>
    <col min="4111" max="4111" width="10.5546875" style="116" customWidth="1"/>
    <col min="4112" max="4114" width="0" style="116" hidden="1" customWidth="1"/>
    <col min="4115" max="4352" width="9.109375" style="116"/>
    <col min="4353" max="4353" width="84" style="116" customWidth="1"/>
    <col min="4354" max="4354" width="8.109375" style="116" customWidth="1"/>
    <col min="4355" max="4355" width="9.5546875" style="116" customWidth="1"/>
    <col min="4356" max="4356" width="14.5546875" style="116" customWidth="1"/>
    <col min="4357" max="4357" width="15" style="116" customWidth="1"/>
    <col min="4358" max="4358" width="12.44140625" style="116" customWidth="1"/>
    <col min="4359" max="4361" width="0" style="116" hidden="1" customWidth="1"/>
    <col min="4362" max="4362" width="13.88671875" style="116" customWidth="1"/>
    <col min="4363" max="4363" width="13.6640625" style="116" customWidth="1"/>
    <col min="4364" max="4364" width="13.5546875" style="116" customWidth="1"/>
    <col min="4365" max="4365" width="10.33203125" style="116" customWidth="1"/>
    <col min="4366" max="4366" width="10.109375" style="116" customWidth="1"/>
    <col min="4367" max="4367" width="10.5546875" style="116" customWidth="1"/>
    <col min="4368" max="4370" width="0" style="116" hidden="1" customWidth="1"/>
    <col min="4371" max="4608" width="9.109375" style="116"/>
    <col min="4609" max="4609" width="84" style="116" customWidth="1"/>
    <col min="4610" max="4610" width="8.109375" style="116" customWidth="1"/>
    <col min="4611" max="4611" width="9.5546875" style="116" customWidth="1"/>
    <col min="4612" max="4612" width="14.5546875" style="116" customWidth="1"/>
    <col min="4613" max="4613" width="15" style="116" customWidth="1"/>
    <col min="4614" max="4614" width="12.44140625" style="116" customWidth="1"/>
    <col min="4615" max="4617" width="0" style="116" hidden="1" customWidth="1"/>
    <col min="4618" max="4618" width="13.88671875" style="116" customWidth="1"/>
    <col min="4619" max="4619" width="13.6640625" style="116" customWidth="1"/>
    <col min="4620" max="4620" width="13.5546875" style="116" customWidth="1"/>
    <col min="4621" max="4621" width="10.33203125" style="116" customWidth="1"/>
    <col min="4622" max="4622" width="10.109375" style="116" customWidth="1"/>
    <col min="4623" max="4623" width="10.5546875" style="116" customWidth="1"/>
    <col min="4624" max="4626" width="0" style="116" hidden="1" customWidth="1"/>
    <col min="4627" max="4864" width="9.109375" style="116"/>
    <col min="4865" max="4865" width="84" style="116" customWidth="1"/>
    <col min="4866" max="4866" width="8.109375" style="116" customWidth="1"/>
    <col min="4867" max="4867" width="9.5546875" style="116" customWidth="1"/>
    <col min="4868" max="4868" width="14.5546875" style="116" customWidth="1"/>
    <col min="4869" max="4869" width="15" style="116" customWidth="1"/>
    <col min="4870" max="4870" width="12.44140625" style="116" customWidth="1"/>
    <col min="4871" max="4873" width="0" style="116" hidden="1" customWidth="1"/>
    <col min="4874" max="4874" width="13.88671875" style="116" customWidth="1"/>
    <col min="4875" max="4875" width="13.6640625" style="116" customWidth="1"/>
    <col min="4876" max="4876" width="13.5546875" style="116" customWidth="1"/>
    <col min="4877" max="4877" width="10.33203125" style="116" customWidth="1"/>
    <col min="4878" max="4878" width="10.109375" style="116" customWidth="1"/>
    <col min="4879" max="4879" width="10.5546875" style="116" customWidth="1"/>
    <col min="4880" max="4882" width="0" style="116" hidden="1" customWidth="1"/>
    <col min="4883" max="5120" width="9.109375" style="116"/>
    <col min="5121" max="5121" width="84" style="116" customWidth="1"/>
    <col min="5122" max="5122" width="8.109375" style="116" customWidth="1"/>
    <col min="5123" max="5123" width="9.5546875" style="116" customWidth="1"/>
    <col min="5124" max="5124" width="14.5546875" style="116" customWidth="1"/>
    <col min="5125" max="5125" width="15" style="116" customWidth="1"/>
    <col min="5126" max="5126" width="12.44140625" style="116" customWidth="1"/>
    <col min="5127" max="5129" width="0" style="116" hidden="1" customWidth="1"/>
    <col min="5130" max="5130" width="13.88671875" style="116" customWidth="1"/>
    <col min="5131" max="5131" width="13.6640625" style="116" customWidth="1"/>
    <col min="5132" max="5132" width="13.5546875" style="116" customWidth="1"/>
    <col min="5133" max="5133" width="10.33203125" style="116" customWidth="1"/>
    <col min="5134" max="5134" width="10.109375" style="116" customWidth="1"/>
    <col min="5135" max="5135" width="10.5546875" style="116" customWidth="1"/>
    <col min="5136" max="5138" width="0" style="116" hidden="1" customWidth="1"/>
    <col min="5139" max="5376" width="9.109375" style="116"/>
    <col min="5377" max="5377" width="84" style="116" customWidth="1"/>
    <col min="5378" max="5378" width="8.109375" style="116" customWidth="1"/>
    <col min="5379" max="5379" width="9.5546875" style="116" customWidth="1"/>
    <col min="5380" max="5380" width="14.5546875" style="116" customWidth="1"/>
    <col min="5381" max="5381" width="15" style="116" customWidth="1"/>
    <col min="5382" max="5382" width="12.44140625" style="116" customWidth="1"/>
    <col min="5383" max="5385" width="0" style="116" hidden="1" customWidth="1"/>
    <col min="5386" max="5386" width="13.88671875" style="116" customWidth="1"/>
    <col min="5387" max="5387" width="13.6640625" style="116" customWidth="1"/>
    <col min="5388" max="5388" width="13.5546875" style="116" customWidth="1"/>
    <col min="5389" max="5389" width="10.33203125" style="116" customWidth="1"/>
    <col min="5390" max="5390" width="10.109375" style="116" customWidth="1"/>
    <col min="5391" max="5391" width="10.5546875" style="116" customWidth="1"/>
    <col min="5392" max="5394" width="0" style="116" hidden="1" customWidth="1"/>
    <col min="5395" max="5632" width="9.109375" style="116"/>
    <col min="5633" max="5633" width="84" style="116" customWidth="1"/>
    <col min="5634" max="5634" width="8.109375" style="116" customWidth="1"/>
    <col min="5635" max="5635" width="9.5546875" style="116" customWidth="1"/>
    <col min="5636" max="5636" width="14.5546875" style="116" customWidth="1"/>
    <col min="5637" max="5637" width="15" style="116" customWidth="1"/>
    <col min="5638" max="5638" width="12.44140625" style="116" customWidth="1"/>
    <col min="5639" max="5641" width="0" style="116" hidden="1" customWidth="1"/>
    <col min="5642" max="5642" width="13.88671875" style="116" customWidth="1"/>
    <col min="5643" max="5643" width="13.6640625" style="116" customWidth="1"/>
    <col min="5644" max="5644" width="13.5546875" style="116" customWidth="1"/>
    <col min="5645" max="5645" width="10.33203125" style="116" customWidth="1"/>
    <col min="5646" max="5646" width="10.109375" style="116" customWidth="1"/>
    <col min="5647" max="5647" width="10.5546875" style="116" customWidth="1"/>
    <col min="5648" max="5650" width="0" style="116" hidden="1" customWidth="1"/>
    <col min="5651" max="5888" width="9.109375" style="116"/>
    <col min="5889" max="5889" width="84" style="116" customWidth="1"/>
    <col min="5890" max="5890" width="8.109375" style="116" customWidth="1"/>
    <col min="5891" max="5891" width="9.5546875" style="116" customWidth="1"/>
    <col min="5892" max="5892" width="14.5546875" style="116" customWidth="1"/>
    <col min="5893" max="5893" width="15" style="116" customWidth="1"/>
    <col min="5894" max="5894" width="12.44140625" style="116" customWidth="1"/>
    <col min="5895" max="5897" width="0" style="116" hidden="1" customWidth="1"/>
    <col min="5898" max="5898" width="13.88671875" style="116" customWidth="1"/>
    <col min="5899" max="5899" width="13.6640625" style="116" customWidth="1"/>
    <col min="5900" max="5900" width="13.5546875" style="116" customWidth="1"/>
    <col min="5901" max="5901" width="10.33203125" style="116" customWidth="1"/>
    <col min="5902" max="5902" width="10.109375" style="116" customWidth="1"/>
    <col min="5903" max="5903" width="10.5546875" style="116" customWidth="1"/>
    <col min="5904" max="5906" width="0" style="116" hidden="1" customWidth="1"/>
    <col min="5907" max="6144" width="9.109375" style="116"/>
    <col min="6145" max="6145" width="84" style="116" customWidth="1"/>
    <col min="6146" max="6146" width="8.109375" style="116" customWidth="1"/>
    <col min="6147" max="6147" width="9.5546875" style="116" customWidth="1"/>
    <col min="6148" max="6148" width="14.5546875" style="116" customWidth="1"/>
    <col min="6149" max="6149" width="15" style="116" customWidth="1"/>
    <col min="6150" max="6150" width="12.44140625" style="116" customWidth="1"/>
    <col min="6151" max="6153" width="0" style="116" hidden="1" customWidth="1"/>
    <col min="6154" max="6154" width="13.88671875" style="116" customWidth="1"/>
    <col min="6155" max="6155" width="13.6640625" style="116" customWidth="1"/>
    <col min="6156" max="6156" width="13.5546875" style="116" customWidth="1"/>
    <col min="6157" max="6157" width="10.33203125" style="116" customWidth="1"/>
    <col min="6158" max="6158" width="10.109375" style="116" customWidth="1"/>
    <col min="6159" max="6159" width="10.5546875" style="116" customWidth="1"/>
    <col min="6160" max="6162" width="0" style="116" hidden="1" customWidth="1"/>
    <col min="6163" max="6400" width="9.109375" style="116"/>
    <col min="6401" max="6401" width="84" style="116" customWidth="1"/>
    <col min="6402" max="6402" width="8.109375" style="116" customWidth="1"/>
    <col min="6403" max="6403" width="9.5546875" style="116" customWidth="1"/>
    <col min="6404" max="6404" width="14.5546875" style="116" customWidth="1"/>
    <col min="6405" max="6405" width="15" style="116" customWidth="1"/>
    <col min="6406" max="6406" width="12.44140625" style="116" customWidth="1"/>
    <col min="6407" max="6409" width="0" style="116" hidden="1" customWidth="1"/>
    <col min="6410" max="6410" width="13.88671875" style="116" customWidth="1"/>
    <col min="6411" max="6411" width="13.6640625" style="116" customWidth="1"/>
    <col min="6412" max="6412" width="13.5546875" style="116" customWidth="1"/>
    <col min="6413" max="6413" width="10.33203125" style="116" customWidth="1"/>
    <col min="6414" max="6414" width="10.109375" style="116" customWidth="1"/>
    <col min="6415" max="6415" width="10.5546875" style="116" customWidth="1"/>
    <col min="6416" max="6418" width="0" style="116" hidden="1" customWidth="1"/>
    <col min="6419" max="6656" width="9.109375" style="116"/>
    <col min="6657" max="6657" width="84" style="116" customWidth="1"/>
    <col min="6658" max="6658" width="8.109375" style="116" customWidth="1"/>
    <col min="6659" max="6659" width="9.5546875" style="116" customWidth="1"/>
    <col min="6660" max="6660" width="14.5546875" style="116" customWidth="1"/>
    <col min="6661" max="6661" width="15" style="116" customWidth="1"/>
    <col min="6662" max="6662" width="12.44140625" style="116" customWidth="1"/>
    <col min="6663" max="6665" width="0" style="116" hidden="1" customWidth="1"/>
    <col min="6666" max="6666" width="13.88671875" style="116" customWidth="1"/>
    <col min="6667" max="6667" width="13.6640625" style="116" customWidth="1"/>
    <col min="6668" max="6668" width="13.5546875" style="116" customWidth="1"/>
    <col min="6669" max="6669" width="10.33203125" style="116" customWidth="1"/>
    <col min="6670" max="6670" width="10.109375" style="116" customWidth="1"/>
    <col min="6671" max="6671" width="10.5546875" style="116" customWidth="1"/>
    <col min="6672" max="6674" width="0" style="116" hidden="1" customWidth="1"/>
    <col min="6675" max="6912" width="9.109375" style="116"/>
    <col min="6913" max="6913" width="84" style="116" customWidth="1"/>
    <col min="6914" max="6914" width="8.109375" style="116" customWidth="1"/>
    <col min="6915" max="6915" width="9.5546875" style="116" customWidth="1"/>
    <col min="6916" max="6916" width="14.5546875" style="116" customWidth="1"/>
    <col min="6917" max="6917" width="15" style="116" customWidth="1"/>
    <col min="6918" max="6918" width="12.44140625" style="116" customWidth="1"/>
    <col min="6919" max="6921" width="0" style="116" hidden="1" customWidth="1"/>
    <col min="6922" max="6922" width="13.88671875" style="116" customWidth="1"/>
    <col min="6923" max="6923" width="13.6640625" style="116" customWidth="1"/>
    <col min="6924" max="6924" width="13.5546875" style="116" customWidth="1"/>
    <col min="6925" max="6925" width="10.33203125" style="116" customWidth="1"/>
    <col min="6926" max="6926" width="10.109375" style="116" customWidth="1"/>
    <col min="6927" max="6927" width="10.5546875" style="116" customWidth="1"/>
    <col min="6928" max="6930" width="0" style="116" hidden="1" customWidth="1"/>
    <col min="6931" max="7168" width="9.109375" style="116"/>
    <col min="7169" max="7169" width="84" style="116" customWidth="1"/>
    <col min="7170" max="7170" width="8.109375" style="116" customWidth="1"/>
    <col min="7171" max="7171" width="9.5546875" style="116" customWidth="1"/>
    <col min="7172" max="7172" width="14.5546875" style="116" customWidth="1"/>
    <col min="7173" max="7173" width="15" style="116" customWidth="1"/>
    <col min="7174" max="7174" width="12.44140625" style="116" customWidth="1"/>
    <col min="7175" max="7177" width="0" style="116" hidden="1" customWidth="1"/>
    <col min="7178" max="7178" width="13.88671875" style="116" customWidth="1"/>
    <col min="7179" max="7179" width="13.6640625" style="116" customWidth="1"/>
    <col min="7180" max="7180" width="13.5546875" style="116" customWidth="1"/>
    <col min="7181" max="7181" width="10.33203125" style="116" customWidth="1"/>
    <col min="7182" max="7182" width="10.109375" style="116" customWidth="1"/>
    <col min="7183" max="7183" width="10.5546875" style="116" customWidth="1"/>
    <col min="7184" max="7186" width="0" style="116" hidden="1" customWidth="1"/>
    <col min="7187" max="7424" width="9.109375" style="116"/>
    <col min="7425" max="7425" width="84" style="116" customWidth="1"/>
    <col min="7426" max="7426" width="8.109375" style="116" customWidth="1"/>
    <col min="7427" max="7427" width="9.5546875" style="116" customWidth="1"/>
    <col min="7428" max="7428" width="14.5546875" style="116" customWidth="1"/>
    <col min="7429" max="7429" width="15" style="116" customWidth="1"/>
    <col min="7430" max="7430" width="12.44140625" style="116" customWidth="1"/>
    <col min="7431" max="7433" width="0" style="116" hidden="1" customWidth="1"/>
    <col min="7434" max="7434" width="13.88671875" style="116" customWidth="1"/>
    <col min="7435" max="7435" width="13.6640625" style="116" customWidth="1"/>
    <col min="7436" max="7436" width="13.5546875" style="116" customWidth="1"/>
    <col min="7437" max="7437" width="10.33203125" style="116" customWidth="1"/>
    <col min="7438" max="7438" width="10.109375" style="116" customWidth="1"/>
    <col min="7439" max="7439" width="10.5546875" style="116" customWidth="1"/>
    <col min="7440" max="7442" width="0" style="116" hidden="1" customWidth="1"/>
    <col min="7443" max="7680" width="9.109375" style="116"/>
    <col min="7681" max="7681" width="84" style="116" customWidth="1"/>
    <col min="7682" max="7682" width="8.109375" style="116" customWidth="1"/>
    <col min="7683" max="7683" width="9.5546875" style="116" customWidth="1"/>
    <col min="7684" max="7684" width="14.5546875" style="116" customWidth="1"/>
    <col min="7685" max="7685" width="15" style="116" customWidth="1"/>
    <col min="7686" max="7686" width="12.44140625" style="116" customWidth="1"/>
    <col min="7687" max="7689" width="0" style="116" hidden="1" customWidth="1"/>
    <col min="7690" max="7690" width="13.88671875" style="116" customWidth="1"/>
    <col min="7691" max="7691" width="13.6640625" style="116" customWidth="1"/>
    <col min="7692" max="7692" width="13.5546875" style="116" customWidth="1"/>
    <col min="7693" max="7693" width="10.33203125" style="116" customWidth="1"/>
    <col min="7694" max="7694" width="10.109375" style="116" customWidth="1"/>
    <col min="7695" max="7695" width="10.5546875" style="116" customWidth="1"/>
    <col min="7696" max="7698" width="0" style="116" hidden="1" customWidth="1"/>
    <col min="7699" max="7936" width="9.109375" style="116"/>
    <col min="7937" max="7937" width="84" style="116" customWidth="1"/>
    <col min="7938" max="7938" width="8.109375" style="116" customWidth="1"/>
    <col min="7939" max="7939" width="9.5546875" style="116" customWidth="1"/>
    <col min="7940" max="7940" width="14.5546875" style="116" customWidth="1"/>
    <col min="7941" max="7941" width="15" style="116" customWidth="1"/>
    <col min="7942" max="7942" width="12.44140625" style="116" customWidth="1"/>
    <col min="7943" max="7945" width="0" style="116" hidden="1" customWidth="1"/>
    <col min="7946" max="7946" width="13.88671875" style="116" customWidth="1"/>
    <col min="7947" max="7947" width="13.6640625" style="116" customWidth="1"/>
    <col min="7948" max="7948" width="13.5546875" style="116" customWidth="1"/>
    <col min="7949" max="7949" width="10.33203125" style="116" customWidth="1"/>
    <col min="7950" max="7950" width="10.109375" style="116" customWidth="1"/>
    <col min="7951" max="7951" width="10.5546875" style="116" customWidth="1"/>
    <col min="7952" max="7954" width="0" style="116" hidden="1" customWidth="1"/>
    <col min="7955" max="8192" width="9.109375" style="116"/>
    <col min="8193" max="8193" width="84" style="116" customWidth="1"/>
    <col min="8194" max="8194" width="8.109375" style="116" customWidth="1"/>
    <col min="8195" max="8195" width="9.5546875" style="116" customWidth="1"/>
    <col min="8196" max="8196" width="14.5546875" style="116" customWidth="1"/>
    <col min="8197" max="8197" width="15" style="116" customWidth="1"/>
    <col min="8198" max="8198" width="12.44140625" style="116" customWidth="1"/>
    <col min="8199" max="8201" width="0" style="116" hidden="1" customWidth="1"/>
    <col min="8202" max="8202" width="13.88671875" style="116" customWidth="1"/>
    <col min="8203" max="8203" width="13.6640625" style="116" customWidth="1"/>
    <col min="8204" max="8204" width="13.5546875" style="116" customWidth="1"/>
    <col min="8205" max="8205" width="10.33203125" style="116" customWidth="1"/>
    <col min="8206" max="8206" width="10.109375" style="116" customWidth="1"/>
    <col min="8207" max="8207" width="10.5546875" style="116" customWidth="1"/>
    <col min="8208" max="8210" width="0" style="116" hidden="1" customWidth="1"/>
    <col min="8211" max="8448" width="9.109375" style="116"/>
    <col min="8449" max="8449" width="84" style="116" customWidth="1"/>
    <col min="8450" max="8450" width="8.109375" style="116" customWidth="1"/>
    <col min="8451" max="8451" width="9.5546875" style="116" customWidth="1"/>
    <col min="8452" max="8452" width="14.5546875" style="116" customWidth="1"/>
    <col min="8453" max="8453" width="15" style="116" customWidth="1"/>
    <col min="8454" max="8454" width="12.44140625" style="116" customWidth="1"/>
    <col min="8455" max="8457" width="0" style="116" hidden="1" customWidth="1"/>
    <col min="8458" max="8458" width="13.88671875" style="116" customWidth="1"/>
    <col min="8459" max="8459" width="13.6640625" style="116" customWidth="1"/>
    <col min="8460" max="8460" width="13.5546875" style="116" customWidth="1"/>
    <col min="8461" max="8461" width="10.33203125" style="116" customWidth="1"/>
    <col min="8462" max="8462" width="10.109375" style="116" customWidth="1"/>
    <col min="8463" max="8463" width="10.5546875" style="116" customWidth="1"/>
    <col min="8464" max="8466" width="0" style="116" hidden="1" customWidth="1"/>
    <col min="8467" max="8704" width="9.109375" style="116"/>
    <col min="8705" max="8705" width="84" style="116" customWidth="1"/>
    <col min="8706" max="8706" width="8.109375" style="116" customWidth="1"/>
    <col min="8707" max="8707" width="9.5546875" style="116" customWidth="1"/>
    <col min="8708" max="8708" width="14.5546875" style="116" customWidth="1"/>
    <col min="8709" max="8709" width="15" style="116" customWidth="1"/>
    <col min="8710" max="8710" width="12.44140625" style="116" customWidth="1"/>
    <col min="8711" max="8713" width="0" style="116" hidden="1" customWidth="1"/>
    <col min="8714" max="8714" width="13.88671875" style="116" customWidth="1"/>
    <col min="8715" max="8715" width="13.6640625" style="116" customWidth="1"/>
    <col min="8716" max="8716" width="13.5546875" style="116" customWidth="1"/>
    <col min="8717" max="8717" width="10.33203125" style="116" customWidth="1"/>
    <col min="8718" max="8718" width="10.109375" style="116" customWidth="1"/>
    <col min="8719" max="8719" width="10.5546875" style="116" customWidth="1"/>
    <col min="8720" max="8722" width="0" style="116" hidden="1" customWidth="1"/>
    <col min="8723" max="8960" width="9.109375" style="116"/>
    <col min="8961" max="8961" width="84" style="116" customWidth="1"/>
    <col min="8962" max="8962" width="8.109375" style="116" customWidth="1"/>
    <col min="8963" max="8963" width="9.5546875" style="116" customWidth="1"/>
    <col min="8964" max="8964" width="14.5546875" style="116" customWidth="1"/>
    <col min="8965" max="8965" width="15" style="116" customWidth="1"/>
    <col min="8966" max="8966" width="12.44140625" style="116" customWidth="1"/>
    <col min="8967" max="8969" width="0" style="116" hidden="1" customWidth="1"/>
    <col min="8970" max="8970" width="13.88671875" style="116" customWidth="1"/>
    <col min="8971" max="8971" width="13.6640625" style="116" customWidth="1"/>
    <col min="8972" max="8972" width="13.5546875" style="116" customWidth="1"/>
    <col min="8973" max="8973" width="10.33203125" style="116" customWidth="1"/>
    <col min="8974" max="8974" width="10.109375" style="116" customWidth="1"/>
    <col min="8975" max="8975" width="10.5546875" style="116" customWidth="1"/>
    <col min="8976" max="8978" width="0" style="116" hidden="1" customWidth="1"/>
    <col min="8979" max="9216" width="9.109375" style="116"/>
    <col min="9217" max="9217" width="84" style="116" customWidth="1"/>
    <col min="9218" max="9218" width="8.109375" style="116" customWidth="1"/>
    <col min="9219" max="9219" width="9.5546875" style="116" customWidth="1"/>
    <col min="9220" max="9220" width="14.5546875" style="116" customWidth="1"/>
    <col min="9221" max="9221" width="15" style="116" customWidth="1"/>
    <col min="9222" max="9222" width="12.44140625" style="116" customWidth="1"/>
    <col min="9223" max="9225" width="0" style="116" hidden="1" customWidth="1"/>
    <col min="9226" max="9226" width="13.88671875" style="116" customWidth="1"/>
    <col min="9227" max="9227" width="13.6640625" style="116" customWidth="1"/>
    <col min="9228" max="9228" width="13.5546875" style="116" customWidth="1"/>
    <col min="9229" max="9229" width="10.33203125" style="116" customWidth="1"/>
    <col min="9230" max="9230" width="10.109375" style="116" customWidth="1"/>
    <col min="9231" max="9231" width="10.5546875" style="116" customWidth="1"/>
    <col min="9232" max="9234" width="0" style="116" hidden="1" customWidth="1"/>
    <col min="9235" max="9472" width="9.109375" style="116"/>
    <col min="9473" max="9473" width="84" style="116" customWidth="1"/>
    <col min="9474" max="9474" width="8.109375" style="116" customWidth="1"/>
    <col min="9475" max="9475" width="9.5546875" style="116" customWidth="1"/>
    <col min="9476" max="9476" width="14.5546875" style="116" customWidth="1"/>
    <col min="9477" max="9477" width="15" style="116" customWidth="1"/>
    <col min="9478" max="9478" width="12.44140625" style="116" customWidth="1"/>
    <col min="9479" max="9481" width="0" style="116" hidden="1" customWidth="1"/>
    <col min="9482" max="9482" width="13.88671875" style="116" customWidth="1"/>
    <col min="9483" max="9483" width="13.6640625" style="116" customWidth="1"/>
    <col min="9484" max="9484" width="13.5546875" style="116" customWidth="1"/>
    <col min="9485" max="9485" width="10.33203125" style="116" customWidth="1"/>
    <col min="9486" max="9486" width="10.109375" style="116" customWidth="1"/>
    <col min="9487" max="9487" width="10.5546875" style="116" customWidth="1"/>
    <col min="9488" max="9490" width="0" style="116" hidden="1" customWidth="1"/>
    <col min="9491" max="9728" width="9.109375" style="116"/>
    <col min="9729" max="9729" width="84" style="116" customWidth="1"/>
    <col min="9730" max="9730" width="8.109375" style="116" customWidth="1"/>
    <col min="9731" max="9731" width="9.5546875" style="116" customWidth="1"/>
    <col min="9732" max="9732" width="14.5546875" style="116" customWidth="1"/>
    <col min="9733" max="9733" width="15" style="116" customWidth="1"/>
    <col min="9734" max="9734" width="12.44140625" style="116" customWidth="1"/>
    <col min="9735" max="9737" width="0" style="116" hidden="1" customWidth="1"/>
    <col min="9738" max="9738" width="13.88671875" style="116" customWidth="1"/>
    <col min="9739" max="9739" width="13.6640625" style="116" customWidth="1"/>
    <col min="9740" max="9740" width="13.5546875" style="116" customWidth="1"/>
    <col min="9741" max="9741" width="10.33203125" style="116" customWidth="1"/>
    <col min="9742" max="9742" width="10.109375" style="116" customWidth="1"/>
    <col min="9743" max="9743" width="10.5546875" style="116" customWidth="1"/>
    <col min="9744" max="9746" width="0" style="116" hidden="1" customWidth="1"/>
    <col min="9747" max="9984" width="9.109375" style="116"/>
    <col min="9985" max="9985" width="84" style="116" customWidth="1"/>
    <col min="9986" max="9986" width="8.109375" style="116" customWidth="1"/>
    <col min="9987" max="9987" width="9.5546875" style="116" customWidth="1"/>
    <col min="9988" max="9988" width="14.5546875" style="116" customWidth="1"/>
    <col min="9989" max="9989" width="15" style="116" customWidth="1"/>
    <col min="9990" max="9990" width="12.44140625" style="116" customWidth="1"/>
    <col min="9991" max="9993" width="0" style="116" hidden="1" customWidth="1"/>
    <col min="9994" max="9994" width="13.88671875" style="116" customWidth="1"/>
    <col min="9995" max="9995" width="13.6640625" style="116" customWidth="1"/>
    <col min="9996" max="9996" width="13.5546875" style="116" customWidth="1"/>
    <col min="9997" max="9997" width="10.33203125" style="116" customWidth="1"/>
    <col min="9998" max="9998" width="10.109375" style="116" customWidth="1"/>
    <col min="9999" max="9999" width="10.5546875" style="116" customWidth="1"/>
    <col min="10000" max="10002" width="0" style="116" hidden="1" customWidth="1"/>
    <col min="10003" max="10240" width="9.109375" style="116"/>
    <col min="10241" max="10241" width="84" style="116" customWidth="1"/>
    <col min="10242" max="10242" width="8.109375" style="116" customWidth="1"/>
    <col min="10243" max="10243" width="9.5546875" style="116" customWidth="1"/>
    <col min="10244" max="10244" width="14.5546875" style="116" customWidth="1"/>
    <col min="10245" max="10245" width="15" style="116" customWidth="1"/>
    <col min="10246" max="10246" width="12.44140625" style="116" customWidth="1"/>
    <col min="10247" max="10249" width="0" style="116" hidden="1" customWidth="1"/>
    <col min="10250" max="10250" width="13.88671875" style="116" customWidth="1"/>
    <col min="10251" max="10251" width="13.6640625" style="116" customWidth="1"/>
    <col min="10252" max="10252" width="13.5546875" style="116" customWidth="1"/>
    <col min="10253" max="10253" width="10.33203125" style="116" customWidth="1"/>
    <col min="10254" max="10254" width="10.109375" style="116" customWidth="1"/>
    <col min="10255" max="10255" width="10.5546875" style="116" customWidth="1"/>
    <col min="10256" max="10258" width="0" style="116" hidden="1" customWidth="1"/>
    <col min="10259" max="10496" width="9.109375" style="116"/>
    <col min="10497" max="10497" width="84" style="116" customWidth="1"/>
    <col min="10498" max="10498" width="8.109375" style="116" customWidth="1"/>
    <col min="10499" max="10499" width="9.5546875" style="116" customWidth="1"/>
    <col min="10500" max="10500" width="14.5546875" style="116" customWidth="1"/>
    <col min="10501" max="10501" width="15" style="116" customWidth="1"/>
    <col min="10502" max="10502" width="12.44140625" style="116" customWidth="1"/>
    <col min="10503" max="10505" width="0" style="116" hidden="1" customWidth="1"/>
    <col min="10506" max="10506" width="13.88671875" style="116" customWidth="1"/>
    <col min="10507" max="10507" width="13.6640625" style="116" customWidth="1"/>
    <col min="10508" max="10508" width="13.5546875" style="116" customWidth="1"/>
    <col min="10509" max="10509" width="10.33203125" style="116" customWidth="1"/>
    <col min="10510" max="10510" width="10.109375" style="116" customWidth="1"/>
    <col min="10511" max="10511" width="10.5546875" style="116" customWidth="1"/>
    <col min="10512" max="10514" width="0" style="116" hidden="1" customWidth="1"/>
    <col min="10515" max="10752" width="9.109375" style="116"/>
    <col min="10753" max="10753" width="84" style="116" customWidth="1"/>
    <col min="10754" max="10754" width="8.109375" style="116" customWidth="1"/>
    <col min="10755" max="10755" width="9.5546875" style="116" customWidth="1"/>
    <col min="10756" max="10756" width="14.5546875" style="116" customWidth="1"/>
    <col min="10757" max="10757" width="15" style="116" customWidth="1"/>
    <col min="10758" max="10758" width="12.44140625" style="116" customWidth="1"/>
    <col min="10759" max="10761" width="0" style="116" hidden="1" customWidth="1"/>
    <col min="10762" max="10762" width="13.88671875" style="116" customWidth="1"/>
    <col min="10763" max="10763" width="13.6640625" style="116" customWidth="1"/>
    <col min="10764" max="10764" width="13.5546875" style="116" customWidth="1"/>
    <col min="10765" max="10765" width="10.33203125" style="116" customWidth="1"/>
    <col min="10766" max="10766" width="10.109375" style="116" customWidth="1"/>
    <col min="10767" max="10767" width="10.5546875" style="116" customWidth="1"/>
    <col min="10768" max="10770" width="0" style="116" hidden="1" customWidth="1"/>
    <col min="10771" max="11008" width="9.109375" style="116"/>
    <col min="11009" max="11009" width="84" style="116" customWidth="1"/>
    <col min="11010" max="11010" width="8.109375" style="116" customWidth="1"/>
    <col min="11011" max="11011" width="9.5546875" style="116" customWidth="1"/>
    <col min="11012" max="11012" width="14.5546875" style="116" customWidth="1"/>
    <col min="11013" max="11013" width="15" style="116" customWidth="1"/>
    <col min="11014" max="11014" width="12.44140625" style="116" customWidth="1"/>
    <col min="11015" max="11017" width="0" style="116" hidden="1" customWidth="1"/>
    <col min="11018" max="11018" width="13.88671875" style="116" customWidth="1"/>
    <col min="11019" max="11019" width="13.6640625" style="116" customWidth="1"/>
    <col min="11020" max="11020" width="13.5546875" style="116" customWidth="1"/>
    <col min="11021" max="11021" width="10.33203125" style="116" customWidth="1"/>
    <col min="11022" max="11022" width="10.109375" style="116" customWidth="1"/>
    <col min="11023" max="11023" width="10.5546875" style="116" customWidth="1"/>
    <col min="11024" max="11026" width="0" style="116" hidden="1" customWidth="1"/>
    <col min="11027" max="11264" width="9.109375" style="116"/>
    <col min="11265" max="11265" width="84" style="116" customWidth="1"/>
    <col min="11266" max="11266" width="8.109375" style="116" customWidth="1"/>
    <col min="11267" max="11267" width="9.5546875" style="116" customWidth="1"/>
    <col min="11268" max="11268" width="14.5546875" style="116" customWidth="1"/>
    <col min="11269" max="11269" width="15" style="116" customWidth="1"/>
    <col min="11270" max="11270" width="12.44140625" style="116" customWidth="1"/>
    <col min="11271" max="11273" width="0" style="116" hidden="1" customWidth="1"/>
    <col min="11274" max="11274" width="13.88671875" style="116" customWidth="1"/>
    <col min="11275" max="11275" width="13.6640625" style="116" customWidth="1"/>
    <col min="11276" max="11276" width="13.5546875" style="116" customWidth="1"/>
    <col min="11277" max="11277" width="10.33203125" style="116" customWidth="1"/>
    <col min="11278" max="11278" width="10.109375" style="116" customWidth="1"/>
    <col min="11279" max="11279" width="10.5546875" style="116" customWidth="1"/>
    <col min="11280" max="11282" width="0" style="116" hidden="1" customWidth="1"/>
    <col min="11283" max="11520" width="9.109375" style="116"/>
    <col min="11521" max="11521" width="84" style="116" customWidth="1"/>
    <col min="11522" max="11522" width="8.109375" style="116" customWidth="1"/>
    <col min="11523" max="11523" width="9.5546875" style="116" customWidth="1"/>
    <col min="11524" max="11524" width="14.5546875" style="116" customWidth="1"/>
    <col min="11525" max="11525" width="15" style="116" customWidth="1"/>
    <col min="11526" max="11526" width="12.44140625" style="116" customWidth="1"/>
    <col min="11527" max="11529" width="0" style="116" hidden="1" customWidth="1"/>
    <col min="11530" max="11530" width="13.88671875" style="116" customWidth="1"/>
    <col min="11531" max="11531" width="13.6640625" style="116" customWidth="1"/>
    <col min="11532" max="11532" width="13.5546875" style="116" customWidth="1"/>
    <col min="11533" max="11533" width="10.33203125" style="116" customWidth="1"/>
    <col min="11534" max="11534" width="10.109375" style="116" customWidth="1"/>
    <col min="11535" max="11535" width="10.5546875" style="116" customWidth="1"/>
    <col min="11536" max="11538" width="0" style="116" hidden="1" customWidth="1"/>
    <col min="11539" max="11776" width="9.109375" style="116"/>
    <col min="11777" max="11777" width="84" style="116" customWidth="1"/>
    <col min="11778" max="11778" width="8.109375" style="116" customWidth="1"/>
    <col min="11779" max="11779" width="9.5546875" style="116" customWidth="1"/>
    <col min="11780" max="11780" width="14.5546875" style="116" customWidth="1"/>
    <col min="11781" max="11781" width="15" style="116" customWidth="1"/>
    <col min="11782" max="11782" width="12.44140625" style="116" customWidth="1"/>
    <col min="11783" max="11785" width="0" style="116" hidden="1" customWidth="1"/>
    <col min="11786" max="11786" width="13.88671875" style="116" customWidth="1"/>
    <col min="11787" max="11787" width="13.6640625" style="116" customWidth="1"/>
    <col min="11788" max="11788" width="13.5546875" style="116" customWidth="1"/>
    <col min="11789" max="11789" width="10.33203125" style="116" customWidth="1"/>
    <col min="11790" max="11790" width="10.109375" style="116" customWidth="1"/>
    <col min="11791" max="11791" width="10.5546875" style="116" customWidth="1"/>
    <col min="11792" max="11794" width="0" style="116" hidden="1" customWidth="1"/>
    <col min="11795" max="12032" width="9.109375" style="116"/>
    <col min="12033" max="12033" width="84" style="116" customWidth="1"/>
    <col min="12034" max="12034" width="8.109375" style="116" customWidth="1"/>
    <col min="12035" max="12035" width="9.5546875" style="116" customWidth="1"/>
    <col min="12036" max="12036" width="14.5546875" style="116" customWidth="1"/>
    <col min="12037" max="12037" width="15" style="116" customWidth="1"/>
    <col min="12038" max="12038" width="12.44140625" style="116" customWidth="1"/>
    <col min="12039" max="12041" width="0" style="116" hidden="1" customWidth="1"/>
    <col min="12042" max="12042" width="13.88671875" style="116" customWidth="1"/>
    <col min="12043" max="12043" width="13.6640625" style="116" customWidth="1"/>
    <col min="12044" max="12044" width="13.5546875" style="116" customWidth="1"/>
    <col min="12045" max="12045" width="10.33203125" style="116" customWidth="1"/>
    <col min="12046" max="12046" width="10.109375" style="116" customWidth="1"/>
    <col min="12047" max="12047" width="10.5546875" style="116" customWidth="1"/>
    <col min="12048" max="12050" width="0" style="116" hidden="1" customWidth="1"/>
    <col min="12051" max="12288" width="9.109375" style="116"/>
    <col min="12289" max="12289" width="84" style="116" customWidth="1"/>
    <col min="12290" max="12290" width="8.109375" style="116" customWidth="1"/>
    <col min="12291" max="12291" width="9.5546875" style="116" customWidth="1"/>
    <col min="12292" max="12292" width="14.5546875" style="116" customWidth="1"/>
    <col min="12293" max="12293" width="15" style="116" customWidth="1"/>
    <col min="12294" max="12294" width="12.44140625" style="116" customWidth="1"/>
    <col min="12295" max="12297" width="0" style="116" hidden="1" customWidth="1"/>
    <col min="12298" max="12298" width="13.88671875" style="116" customWidth="1"/>
    <col min="12299" max="12299" width="13.6640625" style="116" customWidth="1"/>
    <col min="12300" max="12300" width="13.5546875" style="116" customWidth="1"/>
    <col min="12301" max="12301" width="10.33203125" style="116" customWidth="1"/>
    <col min="12302" max="12302" width="10.109375" style="116" customWidth="1"/>
    <col min="12303" max="12303" width="10.5546875" style="116" customWidth="1"/>
    <col min="12304" max="12306" width="0" style="116" hidden="1" customWidth="1"/>
    <col min="12307" max="12544" width="9.109375" style="116"/>
    <col min="12545" max="12545" width="84" style="116" customWidth="1"/>
    <col min="12546" max="12546" width="8.109375" style="116" customWidth="1"/>
    <col min="12547" max="12547" width="9.5546875" style="116" customWidth="1"/>
    <col min="12548" max="12548" width="14.5546875" style="116" customWidth="1"/>
    <col min="12549" max="12549" width="15" style="116" customWidth="1"/>
    <col min="12550" max="12550" width="12.44140625" style="116" customWidth="1"/>
    <col min="12551" max="12553" width="0" style="116" hidden="1" customWidth="1"/>
    <col min="12554" max="12554" width="13.88671875" style="116" customWidth="1"/>
    <col min="12555" max="12555" width="13.6640625" style="116" customWidth="1"/>
    <col min="12556" max="12556" width="13.5546875" style="116" customWidth="1"/>
    <col min="12557" max="12557" width="10.33203125" style="116" customWidth="1"/>
    <col min="12558" max="12558" width="10.109375" style="116" customWidth="1"/>
    <col min="12559" max="12559" width="10.5546875" style="116" customWidth="1"/>
    <col min="12560" max="12562" width="0" style="116" hidden="1" customWidth="1"/>
    <col min="12563" max="12800" width="9.109375" style="116"/>
    <col min="12801" max="12801" width="84" style="116" customWidth="1"/>
    <col min="12802" max="12802" width="8.109375" style="116" customWidth="1"/>
    <col min="12803" max="12803" width="9.5546875" style="116" customWidth="1"/>
    <col min="12804" max="12804" width="14.5546875" style="116" customWidth="1"/>
    <col min="12805" max="12805" width="15" style="116" customWidth="1"/>
    <col min="12806" max="12806" width="12.44140625" style="116" customWidth="1"/>
    <col min="12807" max="12809" width="0" style="116" hidden="1" customWidth="1"/>
    <col min="12810" max="12810" width="13.88671875" style="116" customWidth="1"/>
    <col min="12811" max="12811" width="13.6640625" style="116" customWidth="1"/>
    <col min="12812" max="12812" width="13.5546875" style="116" customWidth="1"/>
    <col min="12813" max="12813" width="10.33203125" style="116" customWidth="1"/>
    <col min="12814" max="12814" width="10.109375" style="116" customWidth="1"/>
    <col min="12815" max="12815" width="10.5546875" style="116" customWidth="1"/>
    <col min="12816" max="12818" width="0" style="116" hidden="1" customWidth="1"/>
    <col min="12819" max="13056" width="9.109375" style="116"/>
    <col min="13057" max="13057" width="84" style="116" customWidth="1"/>
    <col min="13058" max="13058" width="8.109375" style="116" customWidth="1"/>
    <col min="13059" max="13059" width="9.5546875" style="116" customWidth="1"/>
    <col min="13060" max="13060" width="14.5546875" style="116" customWidth="1"/>
    <col min="13061" max="13061" width="15" style="116" customWidth="1"/>
    <col min="13062" max="13062" width="12.44140625" style="116" customWidth="1"/>
    <col min="13063" max="13065" width="0" style="116" hidden="1" customWidth="1"/>
    <col min="13066" max="13066" width="13.88671875" style="116" customWidth="1"/>
    <col min="13067" max="13067" width="13.6640625" style="116" customWidth="1"/>
    <col min="13068" max="13068" width="13.5546875" style="116" customWidth="1"/>
    <col min="13069" max="13069" width="10.33203125" style="116" customWidth="1"/>
    <col min="13070" max="13070" width="10.109375" style="116" customWidth="1"/>
    <col min="13071" max="13071" width="10.5546875" style="116" customWidth="1"/>
    <col min="13072" max="13074" width="0" style="116" hidden="1" customWidth="1"/>
    <col min="13075" max="13312" width="9.109375" style="116"/>
    <col min="13313" max="13313" width="84" style="116" customWidth="1"/>
    <col min="13314" max="13314" width="8.109375" style="116" customWidth="1"/>
    <col min="13315" max="13315" width="9.5546875" style="116" customWidth="1"/>
    <col min="13316" max="13316" width="14.5546875" style="116" customWidth="1"/>
    <col min="13317" max="13317" width="15" style="116" customWidth="1"/>
    <col min="13318" max="13318" width="12.44140625" style="116" customWidth="1"/>
    <col min="13319" max="13321" width="0" style="116" hidden="1" customWidth="1"/>
    <col min="13322" max="13322" width="13.88671875" style="116" customWidth="1"/>
    <col min="13323" max="13323" width="13.6640625" style="116" customWidth="1"/>
    <col min="13324" max="13324" width="13.5546875" style="116" customWidth="1"/>
    <col min="13325" max="13325" width="10.33203125" style="116" customWidth="1"/>
    <col min="13326" max="13326" width="10.109375" style="116" customWidth="1"/>
    <col min="13327" max="13327" width="10.5546875" style="116" customWidth="1"/>
    <col min="13328" max="13330" width="0" style="116" hidden="1" customWidth="1"/>
    <col min="13331" max="13568" width="9.109375" style="116"/>
    <col min="13569" max="13569" width="84" style="116" customWidth="1"/>
    <col min="13570" max="13570" width="8.109375" style="116" customWidth="1"/>
    <col min="13571" max="13571" width="9.5546875" style="116" customWidth="1"/>
    <col min="13572" max="13572" width="14.5546875" style="116" customWidth="1"/>
    <col min="13573" max="13573" width="15" style="116" customWidth="1"/>
    <col min="13574" max="13574" width="12.44140625" style="116" customWidth="1"/>
    <col min="13575" max="13577" width="0" style="116" hidden="1" customWidth="1"/>
    <col min="13578" max="13578" width="13.88671875" style="116" customWidth="1"/>
    <col min="13579" max="13579" width="13.6640625" style="116" customWidth="1"/>
    <col min="13580" max="13580" width="13.5546875" style="116" customWidth="1"/>
    <col min="13581" max="13581" width="10.33203125" style="116" customWidth="1"/>
    <col min="13582" max="13582" width="10.109375" style="116" customWidth="1"/>
    <col min="13583" max="13583" width="10.5546875" style="116" customWidth="1"/>
    <col min="13584" max="13586" width="0" style="116" hidden="1" customWidth="1"/>
    <col min="13587" max="13824" width="9.109375" style="116"/>
    <col min="13825" max="13825" width="84" style="116" customWidth="1"/>
    <col min="13826" max="13826" width="8.109375" style="116" customWidth="1"/>
    <col min="13827" max="13827" width="9.5546875" style="116" customWidth="1"/>
    <col min="13828" max="13828" width="14.5546875" style="116" customWidth="1"/>
    <col min="13829" max="13829" width="15" style="116" customWidth="1"/>
    <col min="13830" max="13830" width="12.44140625" style="116" customWidth="1"/>
    <col min="13831" max="13833" width="0" style="116" hidden="1" customWidth="1"/>
    <col min="13834" max="13834" width="13.88671875" style="116" customWidth="1"/>
    <col min="13835" max="13835" width="13.6640625" style="116" customWidth="1"/>
    <col min="13836" max="13836" width="13.5546875" style="116" customWidth="1"/>
    <col min="13837" max="13837" width="10.33203125" style="116" customWidth="1"/>
    <col min="13838" max="13838" width="10.109375" style="116" customWidth="1"/>
    <col min="13839" max="13839" width="10.5546875" style="116" customWidth="1"/>
    <col min="13840" max="13842" width="0" style="116" hidden="1" customWidth="1"/>
    <col min="13843" max="14080" width="9.109375" style="116"/>
    <col min="14081" max="14081" width="84" style="116" customWidth="1"/>
    <col min="14082" max="14082" width="8.109375" style="116" customWidth="1"/>
    <col min="14083" max="14083" width="9.5546875" style="116" customWidth="1"/>
    <col min="14084" max="14084" width="14.5546875" style="116" customWidth="1"/>
    <col min="14085" max="14085" width="15" style="116" customWidth="1"/>
    <col min="14086" max="14086" width="12.44140625" style="116" customWidth="1"/>
    <col min="14087" max="14089" width="0" style="116" hidden="1" customWidth="1"/>
    <col min="14090" max="14090" width="13.88671875" style="116" customWidth="1"/>
    <col min="14091" max="14091" width="13.6640625" style="116" customWidth="1"/>
    <col min="14092" max="14092" width="13.5546875" style="116" customWidth="1"/>
    <col min="14093" max="14093" width="10.33203125" style="116" customWidth="1"/>
    <col min="14094" max="14094" width="10.109375" style="116" customWidth="1"/>
    <col min="14095" max="14095" width="10.5546875" style="116" customWidth="1"/>
    <col min="14096" max="14098" width="0" style="116" hidden="1" customWidth="1"/>
    <col min="14099" max="14336" width="9.109375" style="116"/>
    <col min="14337" max="14337" width="84" style="116" customWidth="1"/>
    <col min="14338" max="14338" width="8.109375" style="116" customWidth="1"/>
    <col min="14339" max="14339" width="9.5546875" style="116" customWidth="1"/>
    <col min="14340" max="14340" width="14.5546875" style="116" customWidth="1"/>
    <col min="14341" max="14341" width="15" style="116" customWidth="1"/>
    <col min="14342" max="14342" width="12.44140625" style="116" customWidth="1"/>
    <col min="14343" max="14345" width="0" style="116" hidden="1" customWidth="1"/>
    <col min="14346" max="14346" width="13.88671875" style="116" customWidth="1"/>
    <col min="14347" max="14347" width="13.6640625" style="116" customWidth="1"/>
    <col min="14348" max="14348" width="13.5546875" style="116" customWidth="1"/>
    <col min="14349" max="14349" width="10.33203125" style="116" customWidth="1"/>
    <col min="14350" max="14350" width="10.109375" style="116" customWidth="1"/>
    <col min="14351" max="14351" width="10.5546875" style="116" customWidth="1"/>
    <col min="14352" max="14354" width="0" style="116" hidden="1" customWidth="1"/>
    <col min="14355" max="14592" width="9.109375" style="116"/>
    <col min="14593" max="14593" width="84" style="116" customWidth="1"/>
    <col min="14594" max="14594" width="8.109375" style="116" customWidth="1"/>
    <col min="14595" max="14595" width="9.5546875" style="116" customWidth="1"/>
    <col min="14596" max="14596" width="14.5546875" style="116" customWidth="1"/>
    <col min="14597" max="14597" width="15" style="116" customWidth="1"/>
    <col min="14598" max="14598" width="12.44140625" style="116" customWidth="1"/>
    <col min="14599" max="14601" width="0" style="116" hidden="1" customWidth="1"/>
    <col min="14602" max="14602" width="13.88671875" style="116" customWidth="1"/>
    <col min="14603" max="14603" width="13.6640625" style="116" customWidth="1"/>
    <col min="14604" max="14604" width="13.5546875" style="116" customWidth="1"/>
    <col min="14605" max="14605" width="10.33203125" style="116" customWidth="1"/>
    <col min="14606" max="14606" width="10.109375" style="116" customWidth="1"/>
    <col min="14607" max="14607" width="10.5546875" style="116" customWidth="1"/>
    <col min="14608" max="14610" width="0" style="116" hidden="1" customWidth="1"/>
    <col min="14611" max="14848" width="9.109375" style="116"/>
    <col min="14849" max="14849" width="84" style="116" customWidth="1"/>
    <col min="14850" max="14850" width="8.109375" style="116" customWidth="1"/>
    <col min="14851" max="14851" width="9.5546875" style="116" customWidth="1"/>
    <col min="14852" max="14852" width="14.5546875" style="116" customWidth="1"/>
    <col min="14853" max="14853" width="15" style="116" customWidth="1"/>
    <col min="14854" max="14854" width="12.44140625" style="116" customWidth="1"/>
    <col min="14855" max="14857" width="0" style="116" hidden="1" customWidth="1"/>
    <col min="14858" max="14858" width="13.88671875" style="116" customWidth="1"/>
    <col min="14859" max="14859" width="13.6640625" style="116" customWidth="1"/>
    <col min="14860" max="14860" width="13.5546875" style="116" customWidth="1"/>
    <col min="14861" max="14861" width="10.33203125" style="116" customWidth="1"/>
    <col min="14862" max="14862" width="10.109375" style="116" customWidth="1"/>
    <col min="14863" max="14863" width="10.5546875" style="116" customWidth="1"/>
    <col min="14864" max="14866" width="0" style="116" hidden="1" customWidth="1"/>
    <col min="14867" max="15104" width="9.109375" style="116"/>
    <col min="15105" max="15105" width="84" style="116" customWidth="1"/>
    <col min="15106" max="15106" width="8.109375" style="116" customWidth="1"/>
    <col min="15107" max="15107" width="9.5546875" style="116" customWidth="1"/>
    <col min="15108" max="15108" width="14.5546875" style="116" customWidth="1"/>
    <col min="15109" max="15109" width="15" style="116" customWidth="1"/>
    <col min="15110" max="15110" width="12.44140625" style="116" customWidth="1"/>
    <col min="15111" max="15113" width="0" style="116" hidden="1" customWidth="1"/>
    <col min="15114" max="15114" width="13.88671875" style="116" customWidth="1"/>
    <col min="15115" max="15115" width="13.6640625" style="116" customWidth="1"/>
    <col min="15116" max="15116" width="13.5546875" style="116" customWidth="1"/>
    <col min="15117" max="15117" width="10.33203125" style="116" customWidth="1"/>
    <col min="15118" max="15118" width="10.109375" style="116" customWidth="1"/>
    <col min="15119" max="15119" width="10.5546875" style="116" customWidth="1"/>
    <col min="15120" max="15122" width="0" style="116" hidden="1" customWidth="1"/>
    <col min="15123" max="15360" width="9.109375" style="116"/>
    <col min="15361" max="15361" width="84" style="116" customWidth="1"/>
    <col min="15362" max="15362" width="8.109375" style="116" customWidth="1"/>
    <col min="15363" max="15363" width="9.5546875" style="116" customWidth="1"/>
    <col min="15364" max="15364" width="14.5546875" style="116" customWidth="1"/>
    <col min="15365" max="15365" width="15" style="116" customWidth="1"/>
    <col min="15366" max="15366" width="12.44140625" style="116" customWidth="1"/>
    <col min="15367" max="15369" width="0" style="116" hidden="1" customWidth="1"/>
    <col min="15370" max="15370" width="13.88671875" style="116" customWidth="1"/>
    <col min="15371" max="15371" width="13.6640625" style="116" customWidth="1"/>
    <col min="15372" max="15372" width="13.5546875" style="116" customWidth="1"/>
    <col min="15373" max="15373" width="10.33203125" style="116" customWidth="1"/>
    <col min="15374" max="15374" width="10.109375" style="116" customWidth="1"/>
    <col min="15375" max="15375" width="10.5546875" style="116" customWidth="1"/>
    <col min="15376" max="15378" width="0" style="116" hidden="1" customWidth="1"/>
    <col min="15379" max="15616" width="9.109375" style="116"/>
    <col min="15617" max="15617" width="84" style="116" customWidth="1"/>
    <col min="15618" max="15618" width="8.109375" style="116" customWidth="1"/>
    <col min="15619" max="15619" width="9.5546875" style="116" customWidth="1"/>
    <col min="15620" max="15620" width="14.5546875" style="116" customWidth="1"/>
    <col min="15621" max="15621" width="15" style="116" customWidth="1"/>
    <col min="15622" max="15622" width="12.44140625" style="116" customWidth="1"/>
    <col min="15623" max="15625" width="0" style="116" hidden="1" customWidth="1"/>
    <col min="15626" max="15626" width="13.88671875" style="116" customWidth="1"/>
    <col min="15627" max="15627" width="13.6640625" style="116" customWidth="1"/>
    <col min="15628" max="15628" width="13.5546875" style="116" customWidth="1"/>
    <col min="15629" max="15629" width="10.33203125" style="116" customWidth="1"/>
    <col min="15630" max="15630" width="10.109375" style="116" customWidth="1"/>
    <col min="15631" max="15631" width="10.5546875" style="116" customWidth="1"/>
    <col min="15632" max="15634" width="0" style="116" hidden="1" customWidth="1"/>
    <col min="15635" max="15872" width="9.109375" style="116"/>
    <col min="15873" max="15873" width="84" style="116" customWidth="1"/>
    <col min="15874" max="15874" width="8.109375" style="116" customWidth="1"/>
    <col min="15875" max="15875" width="9.5546875" style="116" customWidth="1"/>
    <col min="15876" max="15876" width="14.5546875" style="116" customWidth="1"/>
    <col min="15877" max="15877" width="15" style="116" customWidth="1"/>
    <col min="15878" max="15878" width="12.44140625" style="116" customWidth="1"/>
    <col min="15879" max="15881" width="0" style="116" hidden="1" customWidth="1"/>
    <col min="15882" max="15882" width="13.88671875" style="116" customWidth="1"/>
    <col min="15883" max="15883" width="13.6640625" style="116" customWidth="1"/>
    <col min="15884" max="15884" width="13.5546875" style="116" customWidth="1"/>
    <col min="15885" max="15885" width="10.33203125" style="116" customWidth="1"/>
    <col min="15886" max="15886" width="10.109375" style="116" customWidth="1"/>
    <col min="15887" max="15887" width="10.5546875" style="116" customWidth="1"/>
    <col min="15888" max="15890" width="0" style="116" hidden="1" customWidth="1"/>
    <col min="15891" max="16128" width="9.109375" style="116"/>
    <col min="16129" max="16129" width="84" style="116" customWidth="1"/>
    <col min="16130" max="16130" width="8.109375" style="116" customWidth="1"/>
    <col min="16131" max="16131" width="9.5546875" style="116" customWidth="1"/>
    <col min="16132" max="16132" width="14.5546875" style="116" customWidth="1"/>
    <col min="16133" max="16133" width="15" style="116" customWidth="1"/>
    <col min="16134" max="16134" width="12.44140625" style="116" customWidth="1"/>
    <col min="16135" max="16137" width="0" style="116" hidden="1" customWidth="1"/>
    <col min="16138" max="16138" width="13.88671875" style="116" customWidth="1"/>
    <col min="16139" max="16139" width="13.6640625" style="116" customWidth="1"/>
    <col min="16140" max="16140" width="13.5546875" style="116" customWidth="1"/>
    <col min="16141" max="16141" width="10.33203125" style="116" customWidth="1"/>
    <col min="16142" max="16142" width="10.109375" style="116" customWidth="1"/>
    <col min="16143" max="16143" width="10.5546875" style="116" customWidth="1"/>
    <col min="16144" max="16146" width="0" style="116" hidden="1" customWidth="1"/>
    <col min="16147" max="16384" width="9.109375" style="116"/>
  </cols>
  <sheetData>
    <row r="1" spans="1:18" ht="17.399999999999999" x14ac:dyDescent="0.3">
      <c r="A1" s="114" t="s">
        <v>100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6"/>
      <c r="R1" s="116"/>
    </row>
    <row r="2" spans="1:18" ht="17.399999999999999" x14ac:dyDescent="0.3">
      <c r="A2" s="114" t="s">
        <v>101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/>
      <c r="R2" s="116"/>
    </row>
    <row r="3" spans="1:18" ht="16.2" thickBot="1" x14ac:dyDescent="0.35">
      <c r="A3" s="117"/>
      <c r="B3" s="117"/>
      <c r="C3" s="117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s="125" customFormat="1" ht="37.5" customHeight="1" x14ac:dyDescent="0.3">
      <c r="A4" s="119" t="s">
        <v>102</v>
      </c>
      <c r="B4" s="120" t="s">
        <v>103</v>
      </c>
      <c r="C4" s="120" t="s">
        <v>104</v>
      </c>
      <c r="D4" s="121" t="s">
        <v>105</v>
      </c>
      <c r="E4" s="121"/>
      <c r="F4" s="121"/>
      <c r="G4" s="121" t="s">
        <v>106</v>
      </c>
      <c r="H4" s="121"/>
      <c r="I4" s="121"/>
      <c r="J4" s="121" t="s">
        <v>107</v>
      </c>
      <c r="K4" s="122"/>
      <c r="L4" s="122"/>
      <c r="M4" s="121" t="s">
        <v>108</v>
      </c>
      <c r="N4" s="122"/>
      <c r="O4" s="123"/>
      <c r="P4" s="124" t="s">
        <v>109</v>
      </c>
      <c r="Q4" s="122"/>
      <c r="R4" s="123"/>
    </row>
    <row r="5" spans="1:18" s="125" customFormat="1" x14ac:dyDescent="0.3">
      <c r="A5" s="126"/>
      <c r="B5" s="127"/>
      <c r="C5" s="128"/>
      <c r="D5" s="129" t="s">
        <v>110</v>
      </c>
      <c r="E5" s="130" t="s">
        <v>111</v>
      </c>
      <c r="F5" s="131"/>
      <c r="G5" s="129" t="s">
        <v>110</v>
      </c>
      <c r="H5" s="130" t="s">
        <v>111</v>
      </c>
      <c r="I5" s="131"/>
      <c r="J5" s="129" t="s">
        <v>110</v>
      </c>
      <c r="K5" s="130" t="s">
        <v>111</v>
      </c>
      <c r="L5" s="131"/>
      <c r="M5" s="129" t="s">
        <v>110</v>
      </c>
      <c r="N5" s="130" t="s">
        <v>111</v>
      </c>
      <c r="O5" s="132"/>
      <c r="P5" s="133" t="s">
        <v>110</v>
      </c>
      <c r="Q5" s="130" t="s">
        <v>111</v>
      </c>
      <c r="R5" s="132"/>
    </row>
    <row r="6" spans="1:18" s="125" customFormat="1" ht="78.599999999999994" thickBot="1" x14ac:dyDescent="0.35">
      <c r="A6" s="134"/>
      <c r="B6" s="135"/>
      <c r="C6" s="136"/>
      <c r="D6" s="136"/>
      <c r="E6" s="137" t="s">
        <v>112</v>
      </c>
      <c r="F6" s="137" t="s">
        <v>113</v>
      </c>
      <c r="G6" s="136"/>
      <c r="H6" s="137" t="s">
        <v>112</v>
      </c>
      <c r="I6" s="137" t="s">
        <v>113</v>
      </c>
      <c r="J6" s="136"/>
      <c r="K6" s="137" t="s">
        <v>112</v>
      </c>
      <c r="L6" s="137" t="s">
        <v>113</v>
      </c>
      <c r="M6" s="136"/>
      <c r="N6" s="137" t="s">
        <v>112</v>
      </c>
      <c r="O6" s="138" t="s">
        <v>113</v>
      </c>
      <c r="P6" s="139"/>
      <c r="Q6" s="137" t="s">
        <v>112</v>
      </c>
      <c r="R6" s="138" t="s">
        <v>113</v>
      </c>
    </row>
    <row r="7" spans="1:18" s="125" customFormat="1" x14ac:dyDescent="0.3">
      <c r="A7" s="140">
        <v>1</v>
      </c>
      <c r="B7" s="141">
        <v>2</v>
      </c>
      <c r="C7" s="141">
        <v>3</v>
      </c>
      <c r="D7" s="141">
        <v>4</v>
      </c>
      <c r="E7" s="141">
        <v>5</v>
      </c>
      <c r="F7" s="141">
        <v>6</v>
      </c>
      <c r="G7" s="141"/>
      <c r="H7" s="141"/>
      <c r="I7" s="141"/>
      <c r="J7" s="141">
        <v>7</v>
      </c>
      <c r="K7" s="141">
        <v>8</v>
      </c>
      <c r="L7" s="141">
        <v>9</v>
      </c>
      <c r="M7" s="141">
        <v>10</v>
      </c>
      <c r="N7" s="141">
        <v>11</v>
      </c>
      <c r="O7" s="142">
        <v>12</v>
      </c>
      <c r="P7" s="143">
        <v>10</v>
      </c>
      <c r="Q7" s="141">
        <v>11</v>
      </c>
      <c r="R7" s="142">
        <v>12</v>
      </c>
    </row>
    <row r="8" spans="1:18" s="150" customFormat="1" x14ac:dyDescent="0.25">
      <c r="A8" s="144" t="s">
        <v>114</v>
      </c>
      <c r="B8" s="145" t="s">
        <v>115</v>
      </c>
      <c r="C8" s="145" t="s">
        <v>116</v>
      </c>
      <c r="D8" s="146">
        <f t="shared" ref="D8:L8" si="0">SUM(D9:D14)</f>
        <v>1373237.81</v>
      </c>
      <c r="E8" s="146">
        <f t="shared" si="0"/>
        <v>1373237.81</v>
      </c>
      <c r="F8" s="146">
        <f t="shared" si="0"/>
        <v>0</v>
      </c>
      <c r="G8" s="146">
        <f>SUM(G9:G14)</f>
        <v>841218.9</v>
      </c>
      <c r="H8" s="146">
        <f>SUM(H9:H14)</f>
        <v>841181.9</v>
      </c>
      <c r="I8" s="146">
        <f t="shared" si="0"/>
        <v>37</v>
      </c>
      <c r="J8" s="146">
        <f t="shared" si="0"/>
        <v>911644.86</v>
      </c>
      <c r="K8" s="146">
        <f t="shared" si="0"/>
        <v>911644.86</v>
      </c>
      <c r="L8" s="146">
        <f t="shared" si="0"/>
        <v>0</v>
      </c>
      <c r="M8" s="147">
        <f>SUM(J8/D8)*100</f>
        <v>66.386524851074398</v>
      </c>
      <c r="N8" s="147">
        <f>SUM(K8/E8)*100</f>
        <v>66.386524851074398</v>
      </c>
      <c r="O8" s="148">
        <v>0</v>
      </c>
      <c r="P8" s="149">
        <f>SUM(J8/G8)*100</f>
        <v>108.3718946400277</v>
      </c>
      <c r="Q8" s="147">
        <f>SUM(K8/H8)*100</f>
        <v>108.37666145693339</v>
      </c>
      <c r="R8" s="147">
        <v>0</v>
      </c>
    </row>
    <row r="9" spans="1:18" s="158" customFormat="1" ht="31.2" x14ac:dyDescent="0.25">
      <c r="A9" s="151" t="s">
        <v>117</v>
      </c>
      <c r="B9" s="152" t="s">
        <v>115</v>
      </c>
      <c r="C9" s="153" t="s">
        <v>118</v>
      </c>
      <c r="D9" s="154">
        <v>38986.21</v>
      </c>
      <c r="E9" s="154">
        <f>D9-F9</f>
        <v>38986.21</v>
      </c>
      <c r="F9" s="154"/>
      <c r="G9" s="154">
        <f>4208-102</f>
        <v>4106</v>
      </c>
      <c r="H9" s="154">
        <f>G9-I9</f>
        <v>4106</v>
      </c>
      <c r="I9" s="154"/>
      <c r="J9" s="154">
        <v>27223.79</v>
      </c>
      <c r="K9" s="154">
        <f>J9-L9</f>
        <v>27223.79</v>
      </c>
      <c r="L9" s="154"/>
      <c r="M9" s="155">
        <f t="shared" ref="M9:N14" si="1">(J9/D9)*100</f>
        <v>69.829280661033749</v>
      </c>
      <c r="N9" s="155">
        <f t="shared" si="1"/>
        <v>69.829280661033749</v>
      </c>
      <c r="O9" s="156"/>
      <c r="P9" s="157">
        <f>(J9/G9)*100</f>
        <v>663.02459814905012</v>
      </c>
      <c r="Q9" s="155">
        <f>(K9/H9)*100</f>
        <v>663.02459814905012</v>
      </c>
      <c r="R9" s="156"/>
    </row>
    <row r="10" spans="1:18" s="158" customFormat="1" ht="46.8" x14ac:dyDescent="0.25">
      <c r="A10" s="159" t="s">
        <v>119</v>
      </c>
      <c r="B10" s="152" t="s">
        <v>115</v>
      </c>
      <c r="C10" s="153" t="s">
        <v>120</v>
      </c>
      <c r="D10" s="154">
        <v>830181.59</v>
      </c>
      <c r="E10" s="154">
        <f t="shared" ref="E10:E56" si="2">D10-F10</f>
        <v>830181.59</v>
      </c>
      <c r="F10" s="154"/>
      <c r="G10" s="154">
        <f>657635.8-84467.5</f>
        <v>573168.30000000005</v>
      </c>
      <c r="H10" s="154">
        <f t="shared" ref="H10:H51" si="3">G10-I10</f>
        <v>573168.30000000005</v>
      </c>
      <c r="I10" s="154"/>
      <c r="J10" s="154">
        <v>608247.71</v>
      </c>
      <c r="K10" s="154">
        <f t="shared" ref="K10:K56" si="4">J10-L10</f>
        <v>608247.71</v>
      </c>
      <c r="L10" s="154"/>
      <c r="M10" s="155">
        <f t="shared" si="1"/>
        <v>73.266827080566799</v>
      </c>
      <c r="N10" s="155">
        <f t="shared" si="1"/>
        <v>73.266827080566799</v>
      </c>
      <c r="O10" s="156"/>
      <c r="P10" s="157">
        <f>(J10/G10)*100</f>
        <v>106.12026345490494</v>
      </c>
      <c r="Q10" s="155">
        <f>(K10/H10)*100</f>
        <v>106.12026345490494</v>
      </c>
      <c r="R10" s="156"/>
    </row>
    <row r="11" spans="1:18" s="158" customFormat="1" x14ac:dyDescent="0.25">
      <c r="A11" s="159" t="s">
        <v>121</v>
      </c>
      <c r="B11" s="152" t="s">
        <v>115</v>
      </c>
      <c r="C11" s="153" t="s">
        <v>122</v>
      </c>
      <c r="D11" s="154">
        <v>673.9</v>
      </c>
      <c r="E11" s="154">
        <f t="shared" si="2"/>
        <v>673.9</v>
      </c>
      <c r="F11" s="154"/>
      <c r="G11" s="154"/>
      <c r="H11" s="154"/>
      <c r="I11" s="154"/>
      <c r="J11" s="154">
        <v>253.86</v>
      </c>
      <c r="K11" s="154">
        <f t="shared" si="4"/>
        <v>253.86</v>
      </c>
      <c r="L11" s="154"/>
      <c r="M11" s="155">
        <f t="shared" si="1"/>
        <v>37.670277489241734</v>
      </c>
      <c r="N11" s="155">
        <f t="shared" si="1"/>
        <v>37.670277489241734</v>
      </c>
      <c r="O11" s="156"/>
      <c r="P11" s="157"/>
      <c r="Q11" s="155"/>
      <c r="R11" s="156"/>
    </row>
    <row r="12" spans="1:18" s="158" customFormat="1" ht="31.2" x14ac:dyDescent="0.25">
      <c r="A12" s="159" t="s">
        <v>123</v>
      </c>
      <c r="B12" s="152" t="s">
        <v>115</v>
      </c>
      <c r="C12" s="153" t="s">
        <v>124</v>
      </c>
      <c r="D12" s="154">
        <v>19996.72</v>
      </c>
      <c r="E12" s="154">
        <f t="shared" si="2"/>
        <v>19996.72</v>
      </c>
      <c r="F12" s="154"/>
      <c r="G12" s="154">
        <f>7852.3-907.2</f>
        <v>6945.1</v>
      </c>
      <c r="H12" s="154">
        <f t="shared" si="3"/>
        <v>6945.1</v>
      </c>
      <c r="I12" s="154"/>
      <c r="J12" s="154">
        <v>9734.25</v>
      </c>
      <c r="K12" s="154">
        <f t="shared" si="4"/>
        <v>9734.25</v>
      </c>
      <c r="L12" s="154"/>
      <c r="M12" s="155">
        <f t="shared" si="1"/>
        <v>48.679233394276658</v>
      </c>
      <c r="N12" s="155">
        <f t="shared" si="1"/>
        <v>48.679233394276658</v>
      </c>
      <c r="O12" s="156"/>
      <c r="P12" s="157">
        <f t="shared" ref="P12:Q14" si="5">(J12/G12)*100</f>
        <v>140.15996889893594</v>
      </c>
      <c r="Q12" s="155">
        <f t="shared" si="5"/>
        <v>140.15996889893594</v>
      </c>
      <c r="R12" s="156"/>
    </row>
    <row r="13" spans="1:18" s="158" customFormat="1" x14ac:dyDescent="0.25">
      <c r="A13" s="159" t="s">
        <v>125</v>
      </c>
      <c r="B13" s="152" t="s">
        <v>115</v>
      </c>
      <c r="C13" s="153" t="s">
        <v>126</v>
      </c>
      <c r="D13" s="154">
        <v>27492.92</v>
      </c>
      <c r="E13" s="154">
        <f t="shared" si="2"/>
        <v>27492.92</v>
      </c>
      <c r="F13" s="154"/>
      <c r="G13" s="154">
        <f>41503.8-26190.6</f>
        <v>15313.200000000004</v>
      </c>
      <c r="H13" s="154">
        <f t="shared" si="3"/>
        <v>15313.200000000004</v>
      </c>
      <c r="I13" s="154"/>
      <c r="J13" s="154"/>
      <c r="K13" s="154"/>
      <c r="L13" s="154"/>
      <c r="M13" s="155">
        <f t="shared" si="1"/>
        <v>0</v>
      </c>
      <c r="N13" s="155">
        <f t="shared" si="1"/>
        <v>0</v>
      </c>
      <c r="O13" s="156"/>
      <c r="P13" s="157">
        <f t="shared" si="5"/>
        <v>0</v>
      </c>
      <c r="Q13" s="155">
        <f t="shared" si="5"/>
        <v>0</v>
      </c>
      <c r="R13" s="156"/>
    </row>
    <row r="14" spans="1:18" s="158" customFormat="1" x14ac:dyDescent="0.25">
      <c r="A14" s="159" t="s">
        <v>127</v>
      </c>
      <c r="B14" s="152" t="s">
        <v>115</v>
      </c>
      <c r="C14" s="153" t="s">
        <v>128</v>
      </c>
      <c r="D14" s="154">
        <v>455906.47</v>
      </c>
      <c r="E14" s="154">
        <f t="shared" si="2"/>
        <v>455906.47</v>
      </c>
      <c r="F14" s="154"/>
      <c r="G14" s="154">
        <f>308152.2-66465.9</f>
        <v>241686.30000000002</v>
      </c>
      <c r="H14" s="154">
        <f t="shared" si="3"/>
        <v>241649.30000000002</v>
      </c>
      <c r="I14" s="154">
        <v>37</v>
      </c>
      <c r="J14" s="154">
        <v>266185.25</v>
      </c>
      <c r="K14" s="154">
        <f t="shared" si="4"/>
        <v>266185.25</v>
      </c>
      <c r="L14" s="154"/>
      <c r="M14" s="155">
        <f t="shared" si="1"/>
        <v>58.385933851739381</v>
      </c>
      <c r="N14" s="155">
        <f t="shared" si="1"/>
        <v>58.385933851739381</v>
      </c>
      <c r="O14" s="156"/>
      <c r="P14" s="157">
        <f t="shared" si="5"/>
        <v>110.1366730344252</v>
      </c>
      <c r="Q14" s="155">
        <f t="shared" si="5"/>
        <v>110.15353655069558</v>
      </c>
      <c r="R14" s="156">
        <f>ROUND(L14/I14*100,1)</f>
        <v>0</v>
      </c>
    </row>
    <row r="15" spans="1:18" s="158" customFormat="1" ht="31.2" x14ac:dyDescent="0.25">
      <c r="A15" s="144" t="s">
        <v>129</v>
      </c>
      <c r="B15" s="145" t="s">
        <v>130</v>
      </c>
      <c r="C15" s="145" t="s">
        <v>116</v>
      </c>
      <c r="D15" s="146">
        <f t="shared" ref="D15:L15" si="6">SUM(D16:D18)</f>
        <v>201906.9</v>
      </c>
      <c r="E15" s="146">
        <f t="shared" si="6"/>
        <v>201906.9</v>
      </c>
      <c r="F15" s="146">
        <f t="shared" si="6"/>
        <v>0</v>
      </c>
      <c r="G15" s="146">
        <f>SUM(G16:G18)</f>
        <v>566186.19999999995</v>
      </c>
      <c r="H15" s="146">
        <f>SUM(H16:H18)</f>
        <v>566186.19999999995</v>
      </c>
      <c r="I15" s="146">
        <f>SUM(I16:I18)</f>
        <v>0</v>
      </c>
      <c r="J15" s="146">
        <f t="shared" si="6"/>
        <v>46764.86</v>
      </c>
      <c r="K15" s="146">
        <f t="shared" si="6"/>
        <v>46764.86</v>
      </c>
      <c r="L15" s="146">
        <f t="shared" si="6"/>
        <v>0</v>
      </c>
      <c r="M15" s="147">
        <f>SUM(J15/D15)*100</f>
        <v>23.161595765176919</v>
      </c>
      <c r="N15" s="147">
        <f>SUM(K15/E15)*100</f>
        <v>23.161595765176919</v>
      </c>
      <c r="O15" s="148">
        <v>0</v>
      </c>
      <c r="P15" s="149">
        <f>SUM(J15/G15)*100</f>
        <v>8.2596255436815671</v>
      </c>
      <c r="Q15" s="147">
        <f>SUM(K15/H15)*100</f>
        <v>8.2596255436815671</v>
      </c>
      <c r="R15" s="148">
        <v>0</v>
      </c>
    </row>
    <row r="16" spans="1:18" s="158" customFormat="1" x14ac:dyDescent="0.25">
      <c r="A16" s="151" t="s">
        <v>131</v>
      </c>
      <c r="B16" s="152" t="s">
        <v>130</v>
      </c>
      <c r="C16" s="153" t="s">
        <v>120</v>
      </c>
      <c r="D16" s="160">
        <v>23450.799999999999</v>
      </c>
      <c r="E16" s="154">
        <f t="shared" si="2"/>
        <v>23450.799999999999</v>
      </c>
      <c r="F16" s="160"/>
      <c r="G16" s="160">
        <f>699913.7-155694.1</f>
        <v>544219.6</v>
      </c>
      <c r="H16" s="154">
        <f t="shared" si="3"/>
        <v>544219.6</v>
      </c>
      <c r="I16" s="160"/>
      <c r="J16" s="154">
        <v>18262.04</v>
      </c>
      <c r="K16" s="154">
        <f t="shared" si="4"/>
        <v>18262.04</v>
      </c>
      <c r="L16" s="154"/>
      <c r="M16" s="155">
        <f t="shared" ref="M16:N18" si="7">(J16/D16)*100</f>
        <v>77.873846521227435</v>
      </c>
      <c r="N16" s="155">
        <f t="shared" si="7"/>
        <v>77.873846521227435</v>
      </c>
      <c r="O16" s="156"/>
      <c r="P16" s="157">
        <f>(J16/G16)*100</f>
        <v>3.3556380549322369</v>
      </c>
      <c r="Q16" s="155">
        <f>(K16/H16)*100</f>
        <v>3.3556380549322369</v>
      </c>
      <c r="R16" s="156"/>
    </row>
    <row r="17" spans="1:18" s="158" customFormat="1" ht="31.2" x14ac:dyDescent="0.25">
      <c r="A17" s="151" t="s">
        <v>132</v>
      </c>
      <c r="B17" s="152" t="s">
        <v>130</v>
      </c>
      <c r="C17" s="153" t="s">
        <v>133</v>
      </c>
      <c r="D17" s="160">
        <v>154425.9</v>
      </c>
      <c r="E17" s="154">
        <f t="shared" si="2"/>
        <v>154425.9</v>
      </c>
      <c r="F17" s="160"/>
      <c r="G17" s="160"/>
      <c r="H17" s="154"/>
      <c r="I17" s="160"/>
      <c r="J17" s="154">
        <v>28502.82</v>
      </c>
      <c r="K17" s="154">
        <f t="shared" si="4"/>
        <v>28502.82</v>
      </c>
      <c r="L17" s="154"/>
      <c r="M17" s="155">
        <f t="shared" si="7"/>
        <v>18.457279510755644</v>
      </c>
      <c r="N17" s="155">
        <f t="shared" si="7"/>
        <v>18.457279510755644</v>
      </c>
      <c r="O17" s="156"/>
      <c r="P17" s="157"/>
      <c r="Q17" s="155"/>
      <c r="R17" s="156"/>
    </row>
    <row r="18" spans="1:18" s="158" customFormat="1" ht="31.2" x14ac:dyDescent="0.25">
      <c r="A18" s="151" t="s">
        <v>134</v>
      </c>
      <c r="B18" s="152" t="s">
        <v>130</v>
      </c>
      <c r="C18" s="153" t="s">
        <v>135</v>
      </c>
      <c r="D18" s="160">
        <v>24030.2</v>
      </c>
      <c r="E18" s="154">
        <f t="shared" si="2"/>
        <v>24030.2</v>
      </c>
      <c r="F18" s="160"/>
      <c r="G18" s="160">
        <f>29154.7-7188.1</f>
        <v>21966.6</v>
      </c>
      <c r="H18" s="154">
        <f t="shared" si="3"/>
        <v>21966.6</v>
      </c>
      <c r="I18" s="160"/>
      <c r="J18" s="154"/>
      <c r="K18" s="154">
        <f t="shared" si="4"/>
        <v>0</v>
      </c>
      <c r="L18" s="154"/>
      <c r="M18" s="155">
        <f t="shared" si="7"/>
        <v>0</v>
      </c>
      <c r="N18" s="155">
        <f t="shared" si="7"/>
        <v>0</v>
      </c>
      <c r="O18" s="156"/>
      <c r="P18" s="157">
        <f>(J18/G18)*100</f>
        <v>0</v>
      </c>
      <c r="Q18" s="155">
        <f>(K18/H18)*100</f>
        <v>0</v>
      </c>
      <c r="R18" s="156"/>
    </row>
    <row r="19" spans="1:18" s="158" customFormat="1" x14ac:dyDescent="0.25">
      <c r="A19" s="144" t="s">
        <v>136</v>
      </c>
      <c r="B19" s="145" t="s">
        <v>120</v>
      </c>
      <c r="C19" s="145" t="s">
        <v>116</v>
      </c>
      <c r="D19" s="146">
        <f>SUM(D20:D24)</f>
        <v>1439612.87</v>
      </c>
      <c r="E19" s="146">
        <f t="shared" ref="E19:L19" si="8">SUM(E20:E24)</f>
        <v>1289256.1000000001</v>
      </c>
      <c r="F19" s="146">
        <f t="shared" si="8"/>
        <v>150356.76999999999</v>
      </c>
      <c r="G19" s="146">
        <f t="shared" si="8"/>
        <v>18852.300000000003</v>
      </c>
      <c r="H19" s="146">
        <f t="shared" si="8"/>
        <v>13451.300000000001</v>
      </c>
      <c r="I19" s="146">
        <f t="shared" si="8"/>
        <v>5401</v>
      </c>
      <c r="J19" s="146">
        <f t="shared" si="8"/>
        <v>958869.42</v>
      </c>
      <c r="K19" s="146">
        <f t="shared" si="8"/>
        <v>835292.13000000012</v>
      </c>
      <c r="L19" s="146">
        <f t="shared" si="8"/>
        <v>85688.56</v>
      </c>
      <c r="M19" s="147">
        <f>SUM(J19/D19)*100</f>
        <v>66.606060558488892</v>
      </c>
      <c r="N19" s="147">
        <f>SUM(K19/E19)*100</f>
        <v>64.788689384521831</v>
      </c>
      <c r="O19" s="147">
        <f>SUM(L19/F19)*100</f>
        <v>56.99015747678007</v>
      </c>
      <c r="P19" s="149">
        <f>SUM(J19/G19)*100</f>
        <v>5086.2198246367807</v>
      </c>
      <c r="Q19" s="147">
        <f>SUM(K19/H19)*100</f>
        <v>6209.7502100168758</v>
      </c>
      <c r="R19" s="148"/>
    </row>
    <row r="20" spans="1:18" s="168" customFormat="1" x14ac:dyDescent="0.25">
      <c r="A20" s="161" t="s">
        <v>137</v>
      </c>
      <c r="B20" s="162" t="s">
        <v>120</v>
      </c>
      <c r="C20" s="162" t="s">
        <v>115</v>
      </c>
      <c r="D20" s="163">
        <v>898.01</v>
      </c>
      <c r="E20" s="154">
        <f t="shared" si="2"/>
        <v>898.01</v>
      </c>
      <c r="F20" s="163"/>
      <c r="G20" s="163"/>
      <c r="H20" s="163"/>
      <c r="I20" s="163"/>
      <c r="J20" s="163">
        <v>539.26</v>
      </c>
      <c r="K20" s="154"/>
      <c r="L20" s="163"/>
      <c r="M20" s="155">
        <f t="shared" ref="M20:O24" si="9">(J20/D20)*100</f>
        <v>60.050556229886077</v>
      </c>
      <c r="N20" s="155">
        <f t="shared" si="9"/>
        <v>0</v>
      </c>
      <c r="O20" s="164"/>
      <c r="P20" s="165"/>
      <c r="Q20" s="166"/>
      <c r="R20" s="167"/>
    </row>
    <row r="21" spans="1:18" s="158" customFormat="1" x14ac:dyDescent="0.25">
      <c r="A21" s="159" t="s">
        <v>138</v>
      </c>
      <c r="B21" s="152" t="s">
        <v>120</v>
      </c>
      <c r="C21" s="153" t="s">
        <v>122</v>
      </c>
      <c r="D21" s="154">
        <v>57390.3</v>
      </c>
      <c r="E21" s="154">
        <f t="shared" si="2"/>
        <v>57390.3</v>
      </c>
      <c r="F21" s="154"/>
      <c r="G21" s="154">
        <f>2583.6</f>
        <v>2583.6</v>
      </c>
      <c r="H21" s="154">
        <f t="shared" si="3"/>
        <v>2583.6</v>
      </c>
      <c r="I21" s="154"/>
      <c r="J21" s="154">
        <v>37349.47</v>
      </c>
      <c r="K21" s="154"/>
      <c r="L21" s="154"/>
      <c r="M21" s="155">
        <f t="shared" si="9"/>
        <v>65.079760865512114</v>
      </c>
      <c r="N21" s="155">
        <f t="shared" si="9"/>
        <v>0</v>
      </c>
      <c r="O21" s="156"/>
      <c r="P21" s="157">
        <f t="shared" ref="P21:Q24" si="10">(J21/G21)*100</f>
        <v>1445.6367084688034</v>
      </c>
      <c r="Q21" s="155">
        <f t="shared" si="10"/>
        <v>0</v>
      </c>
      <c r="R21" s="156"/>
    </row>
    <row r="22" spans="1:18" s="158" customFormat="1" x14ac:dyDescent="0.25">
      <c r="A22" s="159" t="s">
        <v>139</v>
      </c>
      <c r="B22" s="152" t="s">
        <v>120</v>
      </c>
      <c r="C22" s="153" t="s">
        <v>140</v>
      </c>
      <c r="D22" s="154">
        <v>455955</v>
      </c>
      <c r="E22" s="154">
        <f t="shared" si="2"/>
        <v>455955</v>
      </c>
      <c r="F22" s="154"/>
      <c r="G22" s="154">
        <f>10534-5133</f>
        <v>5401</v>
      </c>
      <c r="H22" s="154">
        <f t="shared" si="3"/>
        <v>0</v>
      </c>
      <c r="I22" s="154">
        <f>10534-5133</f>
        <v>5401</v>
      </c>
      <c r="J22" s="154">
        <v>336041.74</v>
      </c>
      <c r="K22" s="154">
        <f t="shared" si="4"/>
        <v>336041.74</v>
      </c>
      <c r="L22" s="154"/>
      <c r="M22" s="155">
        <f t="shared" si="9"/>
        <v>73.70063712427762</v>
      </c>
      <c r="N22" s="155">
        <f t="shared" si="9"/>
        <v>73.70063712427762</v>
      </c>
      <c r="O22" s="156"/>
      <c r="P22" s="157">
        <f t="shared" si="10"/>
        <v>6221.8429920385115</v>
      </c>
      <c r="Q22" s="155">
        <v>0</v>
      </c>
      <c r="R22" s="156">
        <f>ROUND(L22/I22*100,1)</f>
        <v>0</v>
      </c>
    </row>
    <row r="23" spans="1:18" s="158" customFormat="1" x14ac:dyDescent="0.25">
      <c r="A23" s="159" t="s">
        <v>141</v>
      </c>
      <c r="B23" s="152" t="s">
        <v>120</v>
      </c>
      <c r="C23" s="153" t="s">
        <v>133</v>
      </c>
      <c r="D23" s="154">
        <v>840664.06</v>
      </c>
      <c r="E23" s="154">
        <f t="shared" si="2"/>
        <v>690307.29</v>
      </c>
      <c r="F23" s="154">
        <v>150356.76999999999</v>
      </c>
      <c r="G23" s="154"/>
      <c r="H23" s="154"/>
      <c r="I23" s="154"/>
      <c r="J23" s="154">
        <v>552955.89</v>
      </c>
      <c r="K23" s="154">
        <f t="shared" si="4"/>
        <v>467267.33</v>
      </c>
      <c r="L23" s="154">
        <v>85688.56</v>
      </c>
      <c r="M23" s="155">
        <f t="shared" si="9"/>
        <v>65.776083017037749</v>
      </c>
      <c r="N23" s="155">
        <f t="shared" si="9"/>
        <v>67.689757412238833</v>
      </c>
      <c r="O23" s="155">
        <f t="shared" si="9"/>
        <v>56.99015747678007</v>
      </c>
      <c r="P23" s="157"/>
      <c r="Q23" s="155"/>
      <c r="R23" s="156"/>
    </row>
    <row r="24" spans="1:18" s="158" customFormat="1" x14ac:dyDescent="0.25">
      <c r="A24" s="159" t="s">
        <v>142</v>
      </c>
      <c r="B24" s="152" t="s">
        <v>120</v>
      </c>
      <c r="C24" s="153" t="s">
        <v>143</v>
      </c>
      <c r="D24" s="154">
        <v>84705.5</v>
      </c>
      <c r="E24" s="154">
        <f t="shared" si="2"/>
        <v>84705.5</v>
      </c>
      <c r="F24" s="154"/>
      <c r="G24" s="154">
        <f>15316.7-4449</f>
        <v>10867.7</v>
      </c>
      <c r="H24" s="154">
        <f t="shared" si="3"/>
        <v>10867.7</v>
      </c>
      <c r="I24" s="154"/>
      <c r="J24" s="154">
        <v>31983.06</v>
      </c>
      <c r="K24" s="154">
        <f t="shared" si="4"/>
        <v>31983.06</v>
      </c>
      <c r="L24" s="154"/>
      <c r="M24" s="155">
        <f t="shared" si="9"/>
        <v>37.757949601855842</v>
      </c>
      <c r="N24" s="155">
        <f t="shared" si="9"/>
        <v>37.757949601855842</v>
      </c>
      <c r="O24" s="156"/>
      <c r="P24" s="157">
        <f t="shared" si="10"/>
        <v>294.29465296244837</v>
      </c>
      <c r="Q24" s="155">
        <f t="shared" si="10"/>
        <v>294.29465296244837</v>
      </c>
      <c r="R24" s="156"/>
    </row>
    <row r="25" spans="1:18" s="158" customFormat="1" x14ac:dyDescent="0.25">
      <c r="A25" s="144" t="s">
        <v>144</v>
      </c>
      <c r="B25" s="145" t="s">
        <v>122</v>
      </c>
      <c r="C25" s="145" t="s">
        <v>116</v>
      </c>
      <c r="D25" s="146">
        <f t="shared" ref="D25:L25" si="11">SUM(D26:D29)</f>
        <v>1675504.66</v>
      </c>
      <c r="E25" s="146">
        <f t="shared" si="11"/>
        <v>1097163.0900000001</v>
      </c>
      <c r="F25" s="146">
        <f t="shared" si="11"/>
        <v>578341.57000000007</v>
      </c>
      <c r="G25" s="146">
        <f>SUM(G26:G29)</f>
        <v>1419171.2999999998</v>
      </c>
      <c r="H25" s="146">
        <f>SUM(H26:H29)</f>
        <v>903762.89999999991</v>
      </c>
      <c r="I25" s="146">
        <f>SUM(I26:I29)</f>
        <v>515408.39999999997</v>
      </c>
      <c r="J25" s="146">
        <f t="shared" si="11"/>
        <v>879359.29000000015</v>
      </c>
      <c r="K25" s="146">
        <f t="shared" si="11"/>
        <v>600008.93000000005</v>
      </c>
      <c r="L25" s="146">
        <f t="shared" si="11"/>
        <v>279197.61</v>
      </c>
      <c r="M25" s="147">
        <f>SUM(J25/D25)*100</f>
        <v>52.483249434829993</v>
      </c>
      <c r="N25" s="147">
        <f>SUM(K25/E25)*100</f>
        <v>54.687305421475671</v>
      </c>
      <c r="O25" s="169">
        <f>ROUND(L25/F25*100,1)</f>
        <v>48.3</v>
      </c>
      <c r="P25" s="149">
        <f>SUM(J25/G25)*100</f>
        <v>61.962871571599585</v>
      </c>
      <c r="Q25" s="147">
        <f>SUM(K25/H25)*100</f>
        <v>66.390081956229906</v>
      </c>
      <c r="R25" s="148">
        <f>SUM(L25/I25)*100</f>
        <v>54.170170684063358</v>
      </c>
    </row>
    <row r="26" spans="1:18" s="171" customFormat="1" x14ac:dyDescent="0.25">
      <c r="A26" s="170" t="s">
        <v>145</v>
      </c>
      <c r="B26" s="152" t="s">
        <v>122</v>
      </c>
      <c r="C26" s="153" t="s">
        <v>115</v>
      </c>
      <c r="D26" s="160">
        <v>796986.17</v>
      </c>
      <c r="E26" s="154">
        <f t="shared" si="2"/>
        <v>775886.17</v>
      </c>
      <c r="F26" s="160">
        <v>21100</v>
      </c>
      <c r="G26" s="160">
        <f>732293.7-208085.1</f>
        <v>524208.6</v>
      </c>
      <c r="H26" s="154">
        <f t="shared" si="3"/>
        <v>322551.5</v>
      </c>
      <c r="I26" s="160">
        <f>279086.6-77429.5</f>
        <v>201657.09999999998</v>
      </c>
      <c r="J26" s="154">
        <v>486148.34</v>
      </c>
      <c r="K26" s="154">
        <f t="shared" si="4"/>
        <v>486148.34</v>
      </c>
      <c r="L26" s="154"/>
      <c r="M26" s="155">
        <f t="shared" ref="M26:O29" si="12">(J26/D26)*100</f>
        <v>60.998340786766725</v>
      </c>
      <c r="N26" s="155">
        <f t="shared" si="12"/>
        <v>62.657173023202617</v>
      </c>
      <c r="O26" s="156">
        <f t="shared" si="12"/>
        <v>0</v>
      </c>
      <c r="P26" s="157">
        <f t="shared" ref="P26:Q29" si="13">(J26/G26)*100</f>
        <v>92.739481954321249</v>
      </c>
      <c r="Q26" s="155">
        <f t="shared" si="13"/>
        <v>150.71960291612348</v>
      </c>
      <c r="R26" s="156">
        <f>ROUND(L26/I26*100,1)</f>
        <v>0</v>
      </c>
    </row>
    <row r="27" spans="1:18" s="172" customFormat="1" x14ac:dyDescent="0.25">
      <c r="A27" s="159" t="s">
        <v>146</v>
      </c>
      <c r="B27" s="152" t="s">
        <v>122</v>
      </c>
      <c r="C27" s="153" t="s">
        <v>118</v>
      </c>
      <c r="D27" s="160">
        <v>687224.31</v>
      </c>
      <c r="E27" s="154">
        <f t="shared" si="2"/>
        <v>172442.17000000004</v>
      </c>
      <c r="F27" s="160">
        <v>514782.14</v>
      </c>
      <c r="G27" s="160">
        <f>512955.2-109671.6</f>
        <v>403283.6</v>
      </c>
      <c r="H27" s="154">
        <f t="shared" si="3"/>
        <v>100385.5</v>
      </c>
      <c r="I27" s="160">
        <f>403712.7-100814.6</f>
        <v>302898.09999999998</v>
      </c>
      <c r="J27" s="154">
        <v>268819.28000000003</v>
      </c>
      <c r="K27" s="154">
        <f t="shared" si="4"/>
        <v>21916.98000000004</v>
      </c>
      <c r="L27" s="154">
        <v>246902.3</v>
      </c>
      <c r="M27" s="155">
        <f t="shared" si="12"/>
        <v>39.116672109576569</v>
      </c>
      <c r="N27" s="155">
        <f t="shared" si="12"/>
        <v>12.70975655200815</v>
      </c>
      <c r="O27" s="156">
        <f t="shared" si="12"/>
        <v>47.962483702328903</v>
      </c>
      <c r="P27" s="157">
        <f t="shared" si="13"/>
        <v>66.657627535560593</v>
      </c>
      <c r="Q27" s="155">
        <f t="shared" si="13"/>
        <v>21.832814500102145</v>
      </c>
      <c r="R27" s="156">
        <f>ROUND(L27/I27*100,1)</f>
        <v>81.5</v>
      </c>
    </row>
    <row r="28" spans="1:18" s="172" customFormat="1" x14ac:dyDescent="0.25">
      <c r="A28" s="159" t="s">
        <v>147</v>
      </c>
      <c r="B28" s="152" t="s">
        <v>122</v>
      </c>
      <c r="C28" s="153" t="s">
        <v>130</v>
      </c>
      <c r="D28" s="160">
        <v>190896.43</v>
      </c>
      <c r="E28" s="154">
        <f>D28-F28</f>
        <v>148437</v>
      </c>
      <c r="F28" s="160">
        <v>42459.43</v>
      </c>
      <c r="G28" s="160">
        <f>659134.5-167555.4</f>
        <v>491579.1</v>
      </c>
      <c r="H28" s="154">
        <f>G28-I28</f>
        <v>480725.89999999997</v>
      </c>
      <c r="I28" s="160">
        <f>45146.6-34293.4</f>
        <v>10853.199999999997</v>
      </c>
      <c r="J28" s="154">
        <v>124238.92</v>
      </c>
      <c r="K28" s="154">
        <f>J28-L28</f>
        <v>91943.61</v>
      </c>
      <c r="L28" s="154">
        <v>32295.31</v>
      </c>
      <c r="M28" s="155">
        <f t="shared" si="12"/>
        <v>65.08184568983296</v>
      </c>
      <c r="N28" s="155">
        <f t="shared" si="12"/>
        <v>61.941166959720285</v>
      </c>
      <c r="O28" s="156">
        <f t="shared" si="12"/>
        <v>76.061572187850857</v>
      </c>
      <c r="P28" s="157">
        <f t="shared" si="13"/>
        <v>25.273434122809533</v>
      </c>
      <c r="Q28" s="155">
        <f t="shared" si="13"/>
        <v>19.125994667647408</v>
      </c>
      <c r="R28" s="156">
        <f>ROUND(L28/I28*100,1)</f>
        <v>297.60000000000002</v>
      </c>
    </row>
    <row r="29" spans="1:18" s="172" customFormat="1" x14ac:dyDescent="0.25">
      <c r="A29" s="159" t="s">
        <v>148</v>
      </c>
      <c r="B29" s="152" t="s">
        <v>122</v>
      </c>
      <c r="C29" s="153" t="s">
        <v>122</v>
      </c>
      <c r="D29" s="160">
        <v>397.75</v>
      </c>
      <c r="E29" s="154">
        <f>D29-F29</f>
        <v>397.75</v>
      </c>
      <c r="F29" s="160"/>
      <c r="G29" s="160">
        <v>100</v>
      </c>
      <c r="H29" s="154">
        <f>G29-I29</f>
        <v>100</v>
      </c>
      <c r="I29" s="160"/>
      <c r="J29" s="154">
        <v>152.75</v>
      </c>
      <c r="K29" s="154"/>
      <c r="L29" s="154"/>
      <c r="M29" s="155">
        <f t="shared" si="12"/>
        <v>38.403519798868636</v>
      </c>
      <c r="N29" s="155">
        <f t="shared" si="12"/>
        <v>0</v>
      </c>
      <c r="O29" s="156"/>
      <c r="P29" s="157">
        <f t="shared" si="13"/>
        <v>152.75</v>
      </c>
      <c r="Q29" s="155">
        <f t="shared" si="13"/>
        <v>0</v>
      </c>
      <c r="R29" s="156"/>
    </row>
    <row r="30" spans="1:18" s="172" customFormat="1" x14ac:dyDescent="0.25">
      <c r="A30" s="144" t="s">
        <v>149</v>
      </c>
      <c r="B30" s="173" t="s">
        <v>124</v>
      </c>
      <c r="C30" s="173" t="s">
        <v>116</v>
      </c>
      <c r="D30" s="146">
        <f>D31</f>
        <v>2941.18</v>
      </c>
      <c r="E30" s="146">
        <f t="shared" ref="E30:L30" si="14">E31</f>
        <v>2775</v>
      </c>
      <c r="F30" s="146">
        <f t="shared" si="14"/>
        <v>166.18</v>
      </c>
      <c r="G30" s="146">
        <f t="shared" si="14"/>
        <v>3039.8</v>
      </c>
      <c r="H30" s="146">
        <f t="shared" si="14"/>
        <v>2942</v>
      </c>
      <c r="I30" s="146">
        <f t="shared" si="14"/>
        <v>97.8</v>
      </c>
      <c r="J30" s="146">
        <f t="shared" si="14"/>
        <v>1474.67</v>
      </c>
      <c r="K30" s="146">
        <f t="shared" si="14"/>
        <v>1308.49</v>
      </c>
      <c r="L30" s="146">
        <f t="shared" si="14"/>
        <v>166.18</v>
      </c>
      <c r="M30" s="147">
        <f t="shared" ref="M30:R30" si="15">SUM(J30/D30)*100</f>
        <v>50.138719833536207</v>
      </c>
      <c r="N30" s="147">
        <f t="shared" si="15"/>
        <v>47.152792792792795</v>
      </c>
      <c r="O30" s="147">
        <f t="shared" si="15"/>
        <v>100</v>
      </c>
      <c r="P30" s="147">
        <f t="shared" si="15"/>
        <v>1.6494085082418648</v>
      </c>
      <c r="Q30" s="147">
        <f t="shared" si="15"/>
        <v>1.6027461860228687</v>
      </c>
      <c r="R30" s="147">
        <f t="shared" si="15"/>
        <v>102.24948875255623</v>
      </c>
    </row>
    <row r="31" spans="1:18" s="172" customFormat="1" x14ac:dyDescent="0.25">
      <c r="A31" s="159" t="s">
        <v>150</v>
      </c>
      <c r="B31" s="152" t="s">
        <v>124</v>
      </c>
      <c r="C31" s="153" t="s">
        <v>122</v>
      </c>
      <c r="D31" s="160">
        <v>2941.18</v>
      </c>
      <c r="E31" s="154">
        <f t="shared" si="2"/>
        <v>2775</v>
      </c>
      <c r="F31" s="160">
        <v>166.18</v>
      </c>
      <c r="G31" s="160">
        <f>3697.8-658</f>
        <v>3039.8</v>
      </c>
      <c r="H31" s="154">
        <f t="shared" si="3"/>
        <v>2942</v>
      </c>
      <c r="I31" s="160">
        <f>97.8</f>
        <v>97.8</v>
      </c>
      <c r="J31" s="154">
        <v>1474.67</v>
      </c>
      <c r="K31" s="154">
        <f>J31-L31</f>
        <v>1308.49</v>
      </c>
      <c r="L31" s="154">
        <v>166.18</v>
      </c>
      <c r="M31" s="155">
        <f>(J31/D31)*100</f>
        <v>50.138719833536207</v>
      </c>
      <c r="N31" s="155">
        <f>(K31/E31)*100</f>
        <v>47.152792792792795</v>
      </c>
      <c r="O31" s="155">
        <f>(L31/F31)*100</f>
        <v>100</v>
      </c>
      <c r="P31" s="157">
        <f>(J31/G31)*100</f>
        <v>48.512073162708077</v>
      </c>
      <c r="Q31" s="155">
        <f>(K31/H31)*100</f>
        <v>44.476206662134601</v>
      </c>
      <c r="R31" s="156">
        <f>ROUND(L31/I31*100,1)</f>
        <v>169.9</v>
      </c>
    </row>
    <row r="32" spans="1:18" s="150" customFormat="1" x14ac:dyDescent="0.25">
      <c r="A32" s="144" t="s">
        <v>151</v>
      </c>
      <c r="B32" s="145" t="s">
        <v>152</v>
      </c>
      <c r="C32" s="145" t="s">
        <v>116</v>
      </c>
      <c r="D32" s="146">
        <f t="shared" ref="D32:L32" si="16">SUM(D33:D36)</f>
        <v>6351199.2199999997</v>
      </c>
      <c r="E32" s="146">
        <f t="shared" si="16"/>
        <v>6289902.9699999997</v>
      </c>
      <c r="F32" s="146">
        <f t="shared" si="16"/>
        <v>61296.25</v>
      </c>
      <c r="G32" s="146">
        <f>SUM(G33:G36)</f>
        <v>3476736.2000000007</v>
      </c>
      <c r="H32" s="146">
        <f>SUM(H33:H36)</f>
        <v>3194888.8000000003</v>
      </c>
      <c r="I32" s="146">
        <f>SUM(I33:I36)</f>
        <v>281847.40000000002</v>
      </c>
      <c r="J32" s="146">
        <f t="shared" si="16"/>
        <v>4356547.4600000009</v>
      </c>
      <c r="K32" s="146">
        <f t="shared" si="16"/>
        <v>4341994.0600000015</v>
      </c>
      <c r="L32" s="146">
        <f t="shared" si="16"/>
        <v>14553.4</v>
      </c>
      <c r="M32" s="147">
        <f>SUM(J32/D32)*100</f>
        <v>68.594092376777965</v>
      </c>
      <c r="N32" s="147">
        <f>SUM(K32/E32)*100</f>
        <v>69.031177121640113</v>
      </c>
      <c r="O32" s="169">
        <f>ROUND(L32/F32*100,1)</f>
        <v>23.7</v>
      </c>
      <c r="P32" s="149">
        <f>SUM(J32/G32)*100</f>
        <v>125.30566627401871</v>
      </c>
      <c r="Q32" s="147">
        <f>SUM(K32/H32)*100</f>
        <v>135.90438765818706</v>
      </c>
      <c r="R32" s="148">
        <f>SUM(L32/I32)*100</f>
        <v>5.1635743313580322</v>
      </c>
    </row>
    <row r="33" spans="1:18" s="158" customFormat="1" x14ac:dyDescent="0.25">
      <c r="A33" s="159" t="s">
        <v>153</v>
      </c>
      <c r="B33" s="152" t="s">
        <v>152</v>
      </c>
      <c r="C33" s="153" t="s">
        <v>115</v>
      </c>
      <c r="D33" s="160">
        <v>2242050.15</v>
      </c>
      <c r="E33" s="154">
        <f t="shared" si="2"/>
        <v>2187050.15</v>
      </c>
      <c r="F33" s="160">
        <v>55000</v>
      </c>
      <c r="G33" s="160">
        <f>1697163.5-389309.7</f>
        <v>1307853.8</v>
      </c>
      <c r="H33" s="154">
        <f t="shared" si="3"/>
        <v>1079167</v>
      </c>
      <c r="I33" s="160">
        <f>234919.8-6233</f>
        <v>228686.8</v>
      </c>
      <c r="J33" s="154">
        <v>1508375.12</v>
      </c>
      <c r="K33" s="154">
        <f t="shared" si="4"/>
        <v>1496488.9500000002</v>
      </c>
      <c r="L33" s="154">
        <v>11886.17</v>
      </c>
      <c r="M33" s="155">
        <f t="shared" ref="M33:O36" si="17">(J33/D33)*100</f>
        <v>67.276600391833355</v>
      </c>
      <c r="N33" s="155">
        <f t="shared" si="17"/>
        <v>68.424994735488823</v>
      </c>
      <c r="O33" s="156">
        <f t="shared" si="17"/>
        <v>21.611218181818181</v>
      </c>
      <c r="P33" s="157">
        <f t="shared" ref="P33:Q36" si="18">(J33/G33)*100</f>
        <v>115.33208987120732</v>
      </c>
      <c r="Q33" s="155">
        <f t="shared" si="18"/>
        <v>138.6707479009273</v>
      </c>
      <c r="R33" s="156">
        <f>ROUND(L33/I33*100,1)</f>
        <v>5.2</v>
      </c>
    </row>
    <row r="34" spans="1:18" s="158" customFormat="1" x14ac:dyDescent="0.25">
      <c r="A34" s="159" t="s">
        <v>154</v>
      </c>
      <c r="B34" s="152" t="s">
        <v>152</v>
      </c>
      <c r="C34" s="153" t="s">
        <v>118</v>
      </c>
      <c r="D34" s="160">
        <v>3935611.78</v>
      </c>
      <c r="E34" s="154">
        <f t="shared" si="2"/>
        <v>3929315.53</v>
      </c>
      <c r="F34" s="160">
        <v>6296.25</v>
      </c>
      <c r="G34" s="160">
        <f>2792394.5-742107.9</f>
        <v>2050286.6</v>
      </c>
      <c r="H34" s="154">
        <f t="shared" si="3"/>
        <v>1997126</v>
      </c>
      <c r="I34" s="160">
        <f>69262.6-16102</f>
        <v>53160.600000000006</v>
      </c>
      <c r="J34" s="154">
        <v>2712966.16</v>
      </c>
      <c r="K34" s="154">
        <f t="shared" si="4"/>
        <v>2710298.93</v>
      </c>
      <c r="L34" s="154">
        <v>2667.23</v>
      </c>
      <c r="M34" s="155">
        <f t="shared" si="17"/>
        <v>68.933784927333463</v>
      </c>
      <c r="N34" s="155">
        <f t="shared" si="17"/>
        <v>68.976362659274656</v>
      </c>
      <c r="O34" s="156">
        <f t="shared" si="17"/>
        <v>42.362199722056779</v>
      </c>
      <c r="P34" s="157">
        <f t="shared" si="18"/>
        <v>132.32131351782721</v>
      </c>
      <c r="Q34" s="155">
        <f t="shared" si="18"/>
        <v>135.70996171498444</v>
      </c>
      <c r="R34" s="156">
        <f>ROUND(L34/I34*100,1)</f>
        <v>5</v>
      </c>
    </row>
    <row r="35" spans="1:18" s="158" customFormat="1" x14ac:dyDescent="0.25">
      <c r="A35" s="159" t="s">
        <v>155</v>
      </c>
      <c r="B35" s="152" t="s">
        <v>152</v>
      </c>
      <c r="C35" s="153" t="s">
        <v>152</v>
      </c>
      <c r="D35" s="160">
        <v>106833.37</v>
      </c>
      <c r="E35" s="154">
        <f t="shared" si="2"/>
        <v>106833.37</v>
      </c>
      <c r="F35" s="160"/>
      <c r="G35" s="160">
        <f>75136.9-1221.3</f>
        <v>73915.599999999991</v>
      </c>
      <c r="H35" s="154">
        <f t="shared" si="3"/>
        <v>73915.599999999991</v>
      </c>
      <c r="I35" s="160"/>
      <c r="J35" s="154">
        <v>93546.57</v>
      </c>
      <c r="K35" s="154">
        <f t="shared" si="4"/>
        <v>93546.57</v>
      </c>
      <c r="L35" s="154"/>
      <c r="M35" s="155">
        <f t="shared" si="17"/>
        <v>87.563061990836772</v>
      </c>
      <c r="N35" s="155">
        <f t="shared" si="17"/>
        <v>87.563061990836772</v>
      </c>
      <c r="O35" s="156"/>
      <c r="P35" s="157">
        <f t="shared" si="18"/>
        <v>126.55862903094884</v>
      </c>
      <c r="Q35" s="155">
        <f t="shared" si="18"/>
        <v>126.55862903094884</v>
      </c>
      <c r="R35" s="156"/>
    </row>
    <row r="36" spans="1:18" s="150" customFormat="1" x14ac:dyDescent="0.25">
      <c r="A36" s="159" t="s">
        <v>156</v>
      </c>
      <c r="B36" s="152" t="s">
        <v>152</v>
      </c>
      <c r="C36" s="153" t="s">
        <v>133</v>
      </c>
      <c r="D36" s="160">
        <v>66703.92</v>
      </c>
      <c r="E36" s="154">
        <f t="shared" si="2"/>
        <v>66703.92</v>
      </c>
      <c r="F36" s="160"/>
      <c r="G36" s="160">
        <f>56534.5-11854.3</f>
        <v>44680.2</v>
      </c>
      <c r="H36" s="154">
        <f t="shared" si="3"/>
        <v>44680.2</v>
      </c>
      <c r="I36" s="160"/>
      <c r="J36" s="154">
        <v>41659.61</v>
      </c>
      <c r="K36" s="154">
        <f t="shared" si="4"/>
        <v>41659.61</v>
      </c>
      <c r="L36" s="154"/>
      <c r="M36" s="155">
        <f t="shared" si="17"/>
        <v>62.454515416785107</v>
      </c>
      <c r="N36" s="155">
        <f t="shared" si="17"/>
        <v>62.454515416785107</v>
      </c>
      <c r="O36" s="156"/>
      <c r="P36" s="157">
        <f t="shared" si="18"/>
        <v>93.239533395105667</v>
      </c>
      <c r="Q36" s="155">
        <f t="shared" si="18"/>
        <v>93.239533395105667</v>
      </c>
      <c r="R36" s="156"/>
    </row>
    <row r="37" spans="1:18" s="158" customFormat="1" x14ac:dyDescent="0.25">
      <c r="A37" s="144" t="s">
        <v>157</v>
      </c>
      <c r="B37" s="145" t="s">
        <v>140</v>
      </c>
      <c r="C37" s="145" t="s">
        <v>116</v>
      </c>
      <c r="D37" s="146">
        <f t="shared" ref="D37:L37" si="19">SUM(D38:D39)</f>
        <v>357964.29</v>
      </c>
      <c r="E37" s="146">
        <f t="shared" si="19"/>
        <v>356241.20999999996</v>
      </c>
      <c r="F37" s="146">
        <f t="shared" si="19"/>
        <v>1723.08</v>
      </c>
      <c r="G37" s="146">
        <f t="shared" si="19"/>
        <v>189175.8</v>
      </c>
      <c r="H37" s="146">
        <f t="shared" si="19"/>
        <v>187934.8</v>
      </c>
      <c r="I37" s="146">
        <f t="shared" si="19"/>
        <v>1241</v>
      </c>
      <c r="J37" s="146">
        <f t="shared" si="19"/>
        <v>249270.91999999998</v>
      </c>
      <c r="K37" s="146">
        <f t="shared" si="19"/>
        <v>247548.74999999997</v>
      </c>
      <c r="L37" s="146">
        <f t="shared" si="19"/>
        <v>1722.17</v>
      </c>
      <c r="M37" s="147">
        <f>SUM(J37/D37)*100</f>
        <v>69.635694666638386</v>
      </c>
      <c r="N37" s="147">
        <f>SUM(K37/E37)*100</f>
        <v>69.489082972741983</v>
      </c>
      <c r="O37" s="169">
        <f>ROUND(L37/F37*100,1)</f>
        <v>99.9</v>
      </c>
      <c r="P37" s="149">
        <f>SUM(J37/G37)*100</f>
        <v>131.7668116112103</v>
      </c>
      <c r="Q37" s="147">
        <f>SUM(K37/H37)*100</f>
        <v>131.72054882863631</v>
      </c>
      <c r="R37" s="174">
        <v>0</v>
      </c>
    </row>
    <row r="38" spans="1:18" s="158" customFormat="1" x14ac:dyDescent="0.25">
      <c r="A38" s="159" t="s">
        <v>158</v>
      </c>
      <c r="B38" s="152" t="s">
        <v>140</v>
      </c>
      <c r="C38" s="153" t="s">
        <v>115</v>
      </c>
      <c r="D38" s="160">
        <v>355168.19</v>
      </c>
      <c r="E38" s="154">
        <f t="shared" si="2"/>
        <v>353445.11</v>
      </c>
      <c r="F38" s="160">
        <v>1723.08</v>
      </c>
      <c r="G38" s="160">
        <f>255896.6-68646.8</f>
        <v>187249.8</v>
      </c>
      <c r="H38" s="154">
        <f t="shared" si="3"/>
        <v>186008.8</v>
      </c>
      <c r="I38" s="160">
        <f>7777-6536</f>
        <v>1241</v>
      </c>
      <c r="J38" s="154">
        <v>247112.06</v>
      </c>
      <c r="K38" s="154">
        <f t="shared" si="4"/>
        <v>245389.88999999998</v>
      </c>
      <c r="L38" s="154">
        <v>1722.17</v>
      </c>
      <c r="M38" s="155">
        <f>ROUND(J38/D38*100,1)</f>
        <v>69.599999999999994</v>
      </c>
      <c r="N38" s="155">
        <f>ROUND(K38/E38*100,1)</f>
        <v>69.400000000000006</v>
      </c>
      <c r="O38" s="156">
        <f>(L38/F38)*100</f>
        <v>99.947187594307877</v>
      </c>
      <c r="P38" s="157">
        <f>(J38/G38)*100</f>
        <v>131.96919836496488</v>
      </c>
      <c r="Q38" s="155">
        <f>(K38/H38)*100</f>
        <v>131.92380683064457</v>
      </c>
      <c r="R38" s="156">
        <f>ROUND(L38/I38*100,1)</f>
        <v>138.80000000000001</v>
      </c>
    </row>
    <row r="39" spans="1:18" s="158" customFormat="1" x14ac:dyDescent="0.25">
      <c r="A39" s="159" t="s">
        <v>159</v>
      </c>
      <c r="B39" s="152" t="s">
        <v>140</v>
      </c>
      <c r="C39" s="153" t="s">
        <v>120</v>
      </c>
      <c r="D39" s="160">
        <v>2796.1</v>
      </c>
      <c r="E39" s="154">
        <f t="shared" si="2"/>
        <v>2796.1</v>
      </c>
      <c r="F39" s="160"/>
      <c r="G39" s="160">
        <f>2074-148</f>
        <v>1926</v>
      </c>
      <c r="H39" s="154">
        <f t="shared" si="3"/>
        <v>1926</v>
      </c>
      <c r="I39" s="160"/>
      <c r="J39" s="154">
        <v>2158.86</v>
      </c>
      <c r="K39" s="154">
        <f t="shared" si="4"/>
        <v>2158.86</v>
      </c>
      <c r="L39" s="154"/>
      <c r="M39" s="155">
        <f>ROUND(J39/D39*100,1)</f>
        <v>77.2</v>
      </c>
      <c r="N39" s="155">
        <f>ROUND(K39/E39*100,1)</f>
        <v>77.2</v>
      </c>
      <c r="O39" s="156"/>
      <c r="P39" s="157">
        <f>(J39/G39)*100</f>
        <v>112.09034267912774</v>
      </c>
      <c r="Q39" s="155">
        <f>(K39/H39)*100</f>
        <v>112.09034267912774</v>
      </c>
      <c r="R39" s="156"/>
    </row>
    <row r="40" spans="1:18" s="171" customFormat="1" x14ac:dyDescent="0.25">
      <c r="A40" s="144" t="s">
        <v>160</v>
      </c>
      <c r="B40" s="145" t="s">
        <v>133</v>
      </c>
      <c r="C40" s="145" t="s">
        <v>116</v>
      </c>
      <c r="D40" s="146">
        <f t="shared" ref="D40:L40" si="20">SUM(D41:D46)</f>
        <v>1060761.6700000002</v>
      </c>
      <c r="E40" s="146">
        <f t="shared" si="20"/>
        <v>1060755.82</v>
      </c>
      <c r="F40" s="146">
        <f t="shared" si="20"/>
        <v>5.85</v>
      </c>
      <c r="G40" s="146">
        <f t="shared" si="20"/>
        <v>1406368.1</v>
      </c>
      <c r="H40" s="146">
        <f t="shared" si="20"/>
        <v>1402042.6</v>
      </c>
      <c r="I40" s="146">
        <f t="shared" si="20"/>
        <v>4325.5</v>
      </c>
      <c r="J40" s="146">
        <f t="shared" si="20"/>
        <v>699330.53000000014</v>
      </c>
      <c r="K40" s="146">
        <f t="shared" si="20"/>
        <v>699324.68000000017</v>
      </c>
      <c r="L40" s="146">
        <f t="shared" si="20"/>
        <v>5.85</v>
      </c>
      <c r="M40" s="147">
        <f>SUM(J40/D40)*100</f>
        <v>65.927205872738597</v>
      </c>
      <c r="N40" s="147">
        <f>SUM(K40/E40)*100</f>
        <v>65.927017963474398</v>
      </c>
      <c r="O40" s="147">
        <f>SUM(L40/F40)*100</f>
        <v>100</v>
      </c>
      <c r="P40" s="149">
        <f>SUM(J40/G40)*100</f>
        <v>49.725994922666409</v>
      </c>
      <c r="Q40" s="147">
        <f>SUM(K40/H40)*100</f>
        <v>49.878989411591348</v>
      </c>
      <c r="R40" s="174">
        <f>ROUND(L40/I40*100,1)</f>
        <v>0.1</v>
      </c>
    </row>
    <row r="41" spans="1:18" s="171" customFormat="1" x14ac:dyDescent="0.25">
      <c r="A41" s="159" t="s">
        <v>161</v>
      </c>
      <c r="B41" s="152" t="s">
        <v>133</v>
      </c>
      <c r="C41" s="153" t="s">
        <v>115</v>
      </c>
      <c r="D41" s="160">
        <v>309253.52</v>
      </c>
      <c r="E41" s="154">
        <f t="shared" si="2"/>
        <v>309253.52</v>
      </c>
      <c r="F41" s="160"/>
      <c r="G41" s="160">
        <f>685272.4-173578.7</f>
        <v>511693.7</v>
      </c>
      <c r="H41" s="154">
        <f t="shared" si="3"/>
        <v>511693.7</v>
      </c>
      <c r="I41" s="160"/>
      <c r="J41" s="154">
        <v>189980.59</v>
      </c>
      <c r="K41" s="154">
        <f t="shared" si="4"/>
        <v>189980.59</v>
      </c>
      <c r="L41" s="154"/>
      <c r="M41" s="155">
        <f t="shared" ref="M41:O46" si="21">(J41/D41)*100</f>
        <v>61.431989521089356</v>
      </c>
      <c r="N41" s="155">
        <f t="shared" si="21"/>
        <v>61.431989521089356</v>
      </c>
      <c r="O41" s="156"/>
      <c r="P41" s="157">
        <f t="shared" ref="P41:Q46" si="22">(J41/G41)*100</f>
        <v>37.127795397910894</v>
      </c>
      <c r="Q41" s="155">
        <f t="shared" si="22"/>
        <v>37.127795397910894</v>
      </c>
      <c r="R41" s="156"/>
    </row>
    <row r="42" spans="1:18" s="171" customFormat="1" x14ac:dyDescent="0.25">
      <c r="A42" s="159" t="s">
        <v>162</v>
      </c>
      <c r="B42" s="152" t="s">
        <v>133</v>
      </c>
      <c r="C42" s="153" t="s">
        <v>118</v>
      </c>
      <c r="D42" s="160">
        <v>370334.9</v>
      </c>
      <c r="E42" s="154">
        <f t="shared" si="2"/>
        <v>370334.9</v>
      </c>
      <c r="F42" s="160"/>
      <c r="G42" s="160">
        <f>982690.8-247510.4</f>
        <v>735180.4</v>
      </c>
      <c r="H42" s="154">
        <f t="shared" si="3"/>
        <v>735180.4</v>
      </c>
      <c r="I42" s="160"/>
      <c r="J42" s="154">
        <v>253333.73</v>
      </c>
      <c r="K42" s="154">
        <f t="shared" si="4"/>
        <v>253333.73</v>
      </c>
      <c r="L42" s="154"/>
      <c r="M42" s="155">
        <f t="shared" si="21"/>
        <v>68.406658405675515</v>
      </c>
      <c r="N42" s="155">
        <f t="shared" si="21"/>
        <v>68.406658405675515</v>
      </c>
      <c r="O42" s="156"/>
      <c r="P42" s="157">
        <f t="shared" si="22"/>
        <v>34.458716527263242</v>
      </c>
      <c r="Q42" s="155">
        <f t="shared" si="22"/>
        <v>34.458716527263242</v>
      </c>
      <c r="R42" s="156"/>
    </row>
    <row r="43" spans="1:18" s="171" customFormat="1" x14ac:dyDescent="0.25">
      <c r="A43" s="159" t="s">
        <v>163</v>
      </c>
      <c r="B43" s="152" t="s">
        <v>133</v>
      </c>
      <c r="C43" s="153" t="s">
        <v>130</v>
      </c>
      <c r="D43" s="160">
        <v>11914.8</v>
      </c>
      <c r="E43" s="154">
        <f t="shared" si="2"/>
        <v>11914.8</v>
      </c>
      <c r="F43" s="160"/>
      <c r="G43" s="160">
        <f>6462-1509</f>
        <v>4953</v>
      </c>
      <c r="H43" s="154">
        <f t="shared" si="3"/>
        <v>4953</v>
      </c>
      <c r="I43" s="160"/>
      <c r="J43" s="154">
        <v>8049.7</v>
      </c>
      <c r="K43" s="154">
        <f t="shared" si="4"/>
        <v>8049.7</v>
      </c>
      <c r="L43" s="154"/>
      <c r="M43" s="155">
        <f t="shared" si="21"/>
        <v>67.560512975459091</v>
      </c>
      <c r="N43" s="155">
        <f t="shared" si="21"/>
        <v>67.560512975459091</v>
      </c>
      <c r="O43" s="156"/>
      <c r="P43" s="157">
        <f t="shared" si="22"/>
        <v>162.52170401776701</v>
      </c>
      <c r="Q43" s="155">
        <f t="shared" si="22"/>
        <v>162.52170401776701</v>
      </c>
      <c r="R43" s="156"/>
    </row>
    <row r="44" spans="1:18" s="171" customFormat="1" x14ac:dyDescent="0.25">
      <c r="A44" s="159" t="s">
        <v>164</v>
      </c>
      <c r="B44" s="152" t="s">
        <v>133</v>
      </c>
      <c r="C44" s="153" t="s">
        <v>120</v>
      </c>
      <c r="D44" s="160">
        <v>323634.40000000002</v>
      </c>
      <c r="E44" s="154">
        <f t="shared" si="2"/>
        <v>323634.40000000002</v>
      </c>
      <c r="F44" s="160"/>
      <c r="G44" s="160">
        <f>173549-41241</f>
        <v>132308</v>
      </c>
      <c r="H44" s="154">
        <f t="shared" si="3"/>
        <v>132308</v>
      </c>
      <c r="I44" s="160"/>
      <c r="J44" s="154">
        <v>216320.8</v>
      </c>
      <c r="K44" s="154">
        <f t="shared" si="4"/>
        <v>216320.8</v>
      </c>
      <c r="L44" s="154"/>
      <c r="M44" s="155">
        <f t="shared" si="21"/>
        <v>66.841102181968282</v>
      </c>
      <c r="N44" s="155">
        <f t="shared" si="21"/>
        <v>66.841102181968282</v>
      </c>
      <c r="O44" s="156"/>
      <c r="P44" s="157">
        <f t="shared" si="22"/>
        <v>163.49789884209571</v>
      </c>
      <c r="Q44" s="155">
        <f t="shared" si="22"/>
        <v>163.49789884209571</v>
      </c>
      <c r="R44" s="156"/>
    </row>
    <row r="45" spans="1:18" s="171" customFormat="1" x14ac:dyDescent="0.25">
      <c r="A45" s="159" t="s">
        <v>165</v>
      </c>
      <c r="B45" s="152" t="s">
        <v>133</v>
      </c>
      <c r="C45" s="153" t="s">
        <v>152</v>
      </c>
      <c r="D45" s="160">
        <v>7129</v>
      </c>
      <c r="E45" s="154">
        <f t="shared" si="2"/>
        <v>7129</v>
      </c>
      <c r="F45" s="160"/>
      <c r="G45" s="160">
        <f>7624-2375</f>
        <v>5249</v>
      </c>
      <c r="H45" s="154">
        <f t="shared" si="3"/>
        <v>5249</v>
      </c>
      <c r="I45" s="160"/>
      <c r="J45" s="154">
        <v>4752.67</v>
      </c>
      <c r="K45" s="154">
        <f t="shared" si="4"/>
        <v>4752.67</v>
      </c>
      <c r="L45" s="154"/>
      <c r="M45" s="155">
        <f t="shared" si="21"/>
        <v>66.666713424042641</v>
      </c>
      <c r="N45" s="155">
        <f t="shared" si="21"/>
        <v>66.666713424042641</v>
      </c>
      <c r="O45" s="156"/>
      <c r="P45" s="157">
        <f t="shared" si="22"/>
        <v>90.544294151266911</v>
      </c>
      <c r="Q45" s="155">
        <f t="shared" si="22"/>
        <v>90.544294151266911</v>
      </c>
      <c r="R45" s="156"/>
    </row>
    <row r="46" spans="1:18" s="158" customFormat="1" x14ac:dyDescent="0.25">
      <c r="A46" s="159" t="s">
        <v>166</v>
      </c>
      <c r="B46" s="152" t="s">
        <v>133</v>
      </c>
      <c r="C46" s="153" t="s">
        <v>133</v>
      </c>
      <c r="D46" s="160">
        <v>38495.050000000003</v>
      </c>
      <c r="E46" s="154">
        <f t="shared" si="2"/>
        <v>38489.200000000004</v>
      </c>
      <c r="F46" s="160">
        <v>5.85</v>
      </c>
      <c r="G46" s="160">
        <f>27111.1-10127.1</f>
        <v>16984</v>
      </c>
      <c r="H46" s="154">
        <f t="shared" si="3"/>
        <v>12658.5</v>
      </c>
      <c r="I46" s="160">
        <f>4325.5</f>
        <v>4325.5</v>
      </c>
      <c r="J46" s="154">
        <v>26893.040000000001</v>
      </c>
      <c r="K46" s="154">
        <f t="shared" si="4"/>
        <v>26887.190000000002</v>
      </c>
      <c r="L46" s="154">
        <v>5.85</v>
      </c>
      <c r="M46" s="155">
        <f t="shared" si="21"/>
        <v>69.861034081005215</v>
      </c>
      <c r="N46" s="155">
        <f t="shared" si="21"/>
        <v>69.856453238830625</v>
      </c>
      <c r="O46" s="155">
        <f t="shared" si="21"/>
        <v>100</v>
      </c>
      <c r="P46" s="157">
        <f t="shared" si="22"/>
        <v>158.34338200659445</v>
      </c>
      <c r="Q46" s="155">
        <f t="shared" si="22"/>
        <v>212.40423430896237</v>
      </c>
      <c r="R46" s="156">
        <f>ROUND(L46/I46*100,1)</f>
        <v>0.1</v>
      </c>
    </row>
    <row r="47" spans="1:18" s="158" customFormat="1" x14ac:dyDescent="0.25">
      <c r="A47" s="144" t="s">
        <v>167</v>
      </c>
      <c r="B47" s="175">
        <v>10</v>
      </c>
      <c r="C47" s="145" t="s">
        <v>116</v>
      </c>
      <c r="D47" s="146">
        <f t="shared" ref="D47:L47" si="23">SUM(D48:D51)</f>
        <v>813935.91</v>
      </c>
      <c r="E47" s="146">
        <f t="shared" si="23"/>
        <v>813935.91</v>
      </c>
      <c r="F47" s="146">
        <f>SUM(F48:F51)</f>
        <v>0</v>
      </c>
      <c r="G47" s="146">
        <f>SUM(G48:G51)</f>
        <v>585312.5</v>
      </c>
      <c r="H47" s="146">
        <f>SUM(H48:H51)</f>
        <v>585312.5</v>
      </c>
      <c r="I47" s="146">
        <f>SUM(I48:I51)</f>
        <v>0</v>
      </c>
      <c r="J47" s="146">
        <f t="shared" si="23"/>
        <v>479557.30999999994</v>
      </c>
      <c r="K47" s="146">
        <f t="shared" si="23"/>
        <v>479557.30999999994</v>
      </c>
      <c r="L47" s="146">
        <f t="shared" si="23"/>
        <v>0</v>
      </c>
      <c r="M47" s="147">
        <f>SUM(J47/D47)*100</f>
        <v>58.91831335958625</v>
      </c>
      <c r="N47" s="147">
        <f>SUM(K47/E47)*100</f>
        <v>58.91831335958625</v>
      </c>
      <c r="O47" s="176"/>
      <c r="P47" s="149">
        <f>SUM(J47/G47)*100</f>
        <v>81.931841537640139</v>
      </c>
      <c r="Q47" s="147">
        <f>SUM(K47/H47)*100</f>
        <v>81.931841537640139</v>
      </c>
      <c r="R47" s="148">
        <v>0</v>
      </c>
    </row>
    <row r="48" spans="1:18" s="158" customFormat="1" x14ac:dyDescent="0.25">
      <c r="A48" s="177" t="s">
        <v>168</v>
      </c>
      <c r="B48" s="178">
        <v>10</v>
      </c>
      <c r="C48" s="179" t="s">
        <v>115</v>
      </c>
      <c r="D48" s="160">
        <v>8828.2000000000007</v>
      </c>
      <c r="E48" s="154">
        <f t="shared" si="2"/>
        <v>8828.2000000000007</v>
      </c>
      <c r="F48" s="154"/>
      <c r="G48" s="160">
        <f>3968.4-968.4</f>
        <v>3000</v>
      </c>
      <c r="H48" s="154">
        <f t="shared" si="3"/>
        <v>3000</v>
      </c>
      <c r="I48" s="154"/>
      <c r="J48" s="154">
        <v>7237.93</v>
      </c>
      <c r="K48" s="154">
        <f t="shared" si="4"/>
        <v>7237.93</v>
      </c>
      <c r="L48" s="154"/>
      <c r="M48" s="155">
        <f t="shared" ref="M48:N56" si="24">(J48/D48)*100</f>
        <v>81.98647515914908</v>
      </c>
      <c r="N48" s="155">
        <f t="shared" si="24"/>
        <v>81.98647515914908</v>
      </c>
      <c r="O48" s="156"/>
      <c r="P48" s="157">
        <f t="shared" ref="P48:Q51" si="25">(J48/G48)*100</f>
        <v>241.26433333333335</v>
      </c>
      <c r="Q48" s="155">
        <f t="shared" si="25"/>
        <v>241.26433333333335</v>
      </c>
      <c r="R48" s="156"/>
    </row>
    <row r="49" spans="1:18" s="158" customFormat="1" x14ac:dyDescent="0.25">
      <c r="A49" s="180" t="s">
        <v>169</v>
      </c>
      <c r="B49" s="181">
        <v>10</v>
      </c>
      <c r="C49" s="152" t="s">
        <v>130</v>
      </c>
      <c r="D49" s="160">
        <v>227747.46</v>
      </c>
      <c r="E49" s="154">
        <f t="shared" si="2"/>
        <v>227747.46</v>
      </c>
      <c r="F49" s="182"/>
      <c r="G49" s="160">
        <f>213109.7</f>
        <v>213109.7</v>
      </c>
      <c r="H49" s="154">
        <f t="shared" si="3"/>
        <v>213109.7</v>
      </c>
      <c r="I49" s="182"/>
      <c r="J49" s="154">
        <v>96578</v>
      </c>
      <c r="K49" s="154">
        <f t="shared" si="4"/>
        <v>96578</v>
      </c>
      <c r="L49" s="183"/>
      <c r="M49" s="155">
        <f t="shared" si="24"/>
        <v>42.40574186864697</v>
      </c>
      <c r="N49" s="155">
        <f t="shared" si="24"/>
        <v>42.40574186864697</v>
      </c>
      <c r="O49" s="156"/>
      <c r="P49" s="157">
        <f t="shared" si="25"/>
        <v>45.318443975098269</v>
      </c>
      <c r="Q49" s="155">
        <f t="shared" si="25"/>
        <v>45.318443975098269</v>
      </c>
      <c r="R49" s="156"/>
    </row>
    <row r="50" spans="1:18" s="158" customFormat="1" x14ac:dyDescent="0.25">
      <c r="A50" s="159" t="s">
        <v>170</v>
      </c>
      <c r="B50" s="184">
        <v>10</v>
      </c>
      <c r="C50" s="153" t="s">
        <v>120</v>
      </c>
      <c r="D50" s="160">
        <v>451680.5</v>
      </c>
      <c r="E50" s="154">
        <f t="shared" si="2"/>
        <v>451680.5</v>
      </c>
      <c r="F50" s="160"/>
      <c r="G50" s="160">
        <f>321588.7-76204.7</f>
        <v>245384</v>
      </c>
      <c r="H50" s="154">
        <f t="shared" si="3"/>
        <v>245384</v>
      </c>
      <c r="I50" s="160"/>
      <c r="J50" s="154">
        <v>282573.65999999997</v>
      </c>
      <c r="K50" s="154">
        <f t="shared" si="4"/>
        <v>282573.65999999997</v>
      </c>
      <c r="L50" s="154"/>
      <c r="M50" s="155">
        <f t="shared" si="24"/>
        <v>62.560517888197523</v>
      </c>
      <c r="N50" s="155">
        <f t="shared" si="24"/>
        <v>62.560517888197523</v>
      </c>
      <c r="O50" s="156"/>
      <c r="P50" s="157">
        <f t="shared" si="25"/>
        <v>115.15569882306913</v>
      </c>
      <c r="Q50" s="155">
        <f t="shared" si="25"/>
        <v>115.15569882306913</v>
      </c>
      <c r="R50" s="156"/>
    </row>
    <row r="51" spans="1:18" s="158" customFormat="1" x14ac:dyDescent="0.25">
      <c r="A51" s="185" t="s">
        <v>171</v>
      </c>
      <c r="B51" s="186">
        <v>10</v>
      </c>
      <c r="C51" s="187" t="s">
        <v>124</v>
      </c>
      <c r="D51" s="188">
        <v>125679.75</v>
      </c>
      <c r="E51" s="189">
        <f t="shared" si="2"/>
        <v>125679.75</v>
      </c>
      <c r="F51" s="188"/>
      <c r="G51" s="188">
        <f>140248.3-16429.5</f>
        <v>123818.79999999999</v>
      </c>
      <c r="H51" s="189">
        <f t="shared" si="3"/>
        <v>123818.79999999999</v>
      </c>
      <c r="I51" s="188"/>
      <c r="J51" s="189">
        <v>93167.72</v>
      </c>
      <c r="K51" s="189">
        <f t="shared" si="4"/>
        <v>93167.72</v>
      </c>
      <c r="L51" s="189"/>
      <c r="M51" s="190">
        <f t="shared" si="24"/>
        <v>74.131051342797875</v>
      </c>
      <c r="N51" s="190">
        <f t="shared" si="24"/>
        <v>74.131051342797875</v>
      </c>
      <c r="O51" s="191"/>
      <c r="P51" s="157">
        <f t="shared" si="25"/>
        <v>75.245213166336626</v>
      </c>
      <c r="Q51" s="155">
        <f t="shared" si="25"/>
        <v>75.245213166336626</v>
      </c>
      <c r="R51" s="191"/>
    </row>
    <row r="52" spans="1:18" s="158" customFormat="1" x14ac:dyDescent="0.25">
      <c r="A52" s="192" t="s">
        <v>172</v>
      </c>
      <c r="B52" s="175">
        <v>11</v>
      </c>
      <c r="C52" s="145" t="s">
        <v>116</v>
      </c>
      <c r="D52" s="193">
        <f>D53+D54</f>
        <v>146351.32999999999</v>
      </c>
      <c r="E52" s="193">
        <f t="shared" ref="E52:L52" si="26">E53+E54</f>
        <v>65496.049999999996</v>
      </c>
      <c r="F52" s="193">
        <f t="shared" si="26"/>
        <v>80855.28</v>
      </c>
      <c r="G52" s="193">
        <f t="shared" si="26"/>
        <v>0</v>
      </c>
      <c r="H52" s="193">
        <f t="shared" si="26"/>
        <v>0</v>
      </c>
      <c r="I52" s="193">
        <f t="shared" si="26"/>
        <v>0</v>
      </c>
      <c r="J52" s="193">
        <f t="shared" si="26"/>
        <v>120004.23000000001</v>
      </c>
      <c r="K52" s="193">
        <f t="shared" si="26"/>
        <v>45368.060000000005</v>
      </c>
      <c r="L52" s="193">
        <f t="shared" si="26"/>
        <v>74636.17</v>
      </c>
      <c r="M52" s="194">
        <f t="shared" si="24"/>
        <v>81.997362101184876</v>
      </c>
      <c r="N52" s="194">
        <f t="shared" si="24"/>
        <v>69.268390994571433</v>
      </c>
      <c r="O52" s="169">
        <f>ROUND(L52/F52*100,1)</f>
        <v>92.3</v>
      </c>
      <c r="P52" s="195"/>
      <c r="Q52" s="196"/>
      <c r="R52" s="197"/>
    </row>
    <row r="53" spans="1:18" s="158" customFormat="1" x14ac:dyDescent="0.25">
      <c r="A53" s="198" t="s">
        <v>173</v>
      </c>
      <c r="B53" s="199">
        <v>11</v>
      </c>
      <c r="C53" s="162" t="s">
        <v>115</v>
      </c>
      <c r="D53" s="160">
        <v>43603.85</v>
      </c>
      <c r="E53" s="189">
        <f t="shared" si="2"/>
        <v>43603.85</v>
      </c>
      <c r="F53" s="160"/>
      <c r="G53" s="160"/>
      <c r="H53" s="154"/>
      <c r="I53" s="160"/>
      <c r="J53" s="154">
        <v>27387.599999999999</v>
      </c>
      <c r="K53" s="189">
        <f t="shared" si="4"/>
        <v>27387.599999999999</v>
      </c>
      <c r="L53" s="154"/>
      <c r="M53" s="200">
        <f t="shared" si="24"/>
        <v>62.810050029985888</v>
      </c>
      <c r="N53" s="200">
        <f t="shared" si="24"/>
        <v>62.810050029985888</v>
      </c>
      <c r="O53" s="164"/>
      <c r="P53" s="195"/>
      <c r="Q53" s="196"/>
      <c r="R53" s="197"/>
    </row>
    <row r="54" spans="1:18" s="158" customFormat="1" x14ac:dyDescent="0.25">
      <c r="A54" s="198" t="s">
        <v>174</v>
      </c>
      <c r="B54" s="199">
        <v>11</v>
      </c>
      <c r="C54" s="162" t="s">
        <v>118</v>
      </c>
      <c r="D54" s="160">
        <v>102747.48</v>
      </c>
      <c r="E54" s="189">
        <f t="shared" si="2"/>
        <v>21892.199999999997</v>
      </c>
      <c r="F54" s="160">
        <v>80855.28</v>
      </c>
      <c r="G54" s="160"/>
      <c r="H54" s="154"/>
      <c r="I54" s="160"/>
      <c r="J54" s="154">
        <v>92616.63</v>
      </c>
      <c r="K54" s="189">
        <f t="shared" si="4"/>
        <v>17980.460000000006</v>
      </c>
      <c r="L54" s="154">
        <v>74636.17</v>
      </c>
      <c r="M54" s="200">
        <f t="shared" si="24"/>
        <v>90.140050150135082</v>
      </c>
      <c r="N54" s="200">
        <f t="shared" si="24"/>
        <v>82.131809502928022</v>
      </c>
      <c r="O54" s="164">
        <f>ROUND(L54/F54*100,1)</f>
        <v>92.3</v>
      </c>
      <c r="P54" s="195"/>
      <c r="Q54" s="196"/>
      <c r="R54" s="197"/>
    </row>
    <row r="55" spans="1:18" s="158" customFormat="1" x14ac:dyDescent="0.25">
      <c r="A55" s="192" t="s">
        <v>175</v>
      </c>
      <c r="B55" s="175">
        <v>12</v>
      </c>
      <c r="C55" s="145" t="s">
        <v>116</v>
      </c>
      <c r="D55" s="193">
        <f>D56</f>
        <v>9786.76</v>
      </c>
      <c r="E55" s="193">
        <f>E56</f>
        <v>9786.76</v>
      </c>
      <c r="F55" s="193">
        <f>F56</f>
        <v>0</v>
      </c>
      <c r="G55" s="193" t="e">
        <f>G56+#REF!</f>
        <v>#REF!</v>
      </c>
      <c r="H55" s="193" t="e">
        <f>H56+#REF!</f>
        <v>#REF!</v>
      </c>
      <c r="I55" s="193" t="e">
        <f>I56+#REF!</f>
        <v>#REF!</v>
      </c>
      <c r="J55" s="193">
        <f>J56</f>
        <v>6785.74</v>
      </c>
      <c r="K55" s="193">
        <f>K56</f>
        <v>6785.74</v>
      </c>
      <c r="L55" s="193">
        <f>L56</f>
        <v>0</v>
      </c>
      <c r="M55" s="194">
        <f t="shared" si="24"/>
        <v>69.335919139735722</v>
      </c>
      <c r="N55" s="194">
        <f t="shared" si="24"/>
        <v>69.335919139735722</v>
      </c>
      <c r="O55" s="169"/>
      <c r="P55" s="195"/>
      <c r="Q55" s="196"/>
      <c r="R55" s="197"/>
    </row>
    <row r="56" spans="1:18" s="158" customFormat="1" ht="16.2" thickBot="1" x14ac:dyDescent="0.3">
      <c r="A56" s="159" t="s">
        <v>176</v>
      </c>
      <c r="B56" s="184">
        <v>12</v>
      </c>
      <c r="C56" s="153" t="s">
        <v>118</v>
      </c>
      <c r="D56" s="160">
        <v>9786.76</v>
      </c>
      <c r="E56" s="189">
        <f t="shared" si="2"/>
        <v>9786.76</v>
      </c>
      <c r="F56" s="160"/>
      <c r="G56" s="160"/>
      <c r="H56" s="154"/>
      <c r="I56" s="160"/>
      <c r="J56" s="154">
        <v>6785.74</v>
      </c>
      <c r="K56" s="189">
        <f t="shared" si="4"/>
        <v>6785.74</v>
      </c>
      <c r="L56" s="154"/>
      <c r="M56" s="190">
        <f t="shared" si="24"/>
        <v>69.335919139735722</v>
      </c>
      <c r="N56" s="190">
        <f t="shared" si="24"/>
        <v>69.335919139735722</v>
      </c>
      <c r="O56" s="156"/>
      <c r="P56" s="195"/>
      <c r="Q56" s="196"/>
      <c r="R56" s="197"/>
    </row>
    <row r="57" spans="1:18" s="158" customFormat="1" ht="16.2" thickBot="1" x14ac:dyDescent="0.3">
      <c r="A57" s="201" t="s">
        <v>177</v>
      </c>
      <c r="B57" s="202"/>
      <c r="C57" s="202"/>
      <c r="D57" s="203">
        <f>D47+D40+D37+D32+D25+D19+D15+D8+D30+D52+D55</f>
        <v>13433202.600000001</v>
      </c>
      <c r="E57" s="203">
        <f t="shared" ref="E57:L57" si="27">E47+E40+E37+E32+E25+E19+E15+E8+E30+E52+E55</f>
        <v>12560457.620000001</v>
      </c>
      <c r="F57" s="203">
        <f t="shared" si="27"/>
        <v>872744.98000000021</v>
      </c>
      <c r="G57" s="203" t="e">
        <f t="shared" si="27"/>
        <v>#REF!</v>
      </c>
      <c r="H57" s="203" t="e">
        <f t="shared" si="27"/>
        <v>#REF!</v>
      </c>
      <c r="I57" s="203" t="e">
        <f t="shared" si="27"/>
        <v>#REF!</v>
      </c>
      <c r="J57" s="203">
        <f t="shared" si="27"/>
        <v>8709609.290000001</v>
      </c>
      <c r="K57" s="203">
        <f t="shared" si="27"/>
        <v>8215597.870000002</v>
      </c>
      <c r="L57" s="203">
        <f t="shared" si="27"/>
        <v>455969.93999999994</v>
      </c>
      <c r="M57" s="204">
        <f>SUM(J57/D57)*100</f>
        <v>64.836432155054368</v>
      </c>
      <c r="N57" s="204">
        <f>SUM(K57/E57)*100</f>
        <v>65.408427929555017</v>
      </c>
      <c r="O57" s="205">
        <f>SUM(L57/F57)*100</f>
        <v>52.245495585663505</v>
      </c>
      <c r="P57" s="206" t="e">
        <f>SUM(J57/G57)*100</f>
        <v>#REF!</v>
      </c>
      <c r="Q57" s="204" t="e">
        <f>SUM(K57/H57)*100</f>
        <v>#REF!</v>
      </c>
      <c r="R57" s="205" t="e">
        <f>SUM(L57/I57)*100</f>
        <v>#REF!</v>
      </c>
    </row>
    <row r="58" spans="1:18" s="172" customFormat="1" x14ac:dyDescent="0.25">
      <c r="A58" s="117"/>
      <c r="B58" s="117"/>
      <c r="C58" s="207"/>
      <c r="D58" s="207"/>
      <c r="E58" s="208"/>
      <c r="F58" s="207"/>
      <c r="G58" s="207"/>
      <c r="H58" s="207"/>
      <c r="I58" s="207"/>
      <c r="J58" s="207"/>
      <c r="K58" s="207"/>
      <c r="L58" s="207"/>
      <c r="M58" s="209"/>
      <c r="N58" s="209"/>
      <c r="O58" s="209"/>
      <c r="P58" s="209"/>
      <c r="Q58" s="209"/>
      <c r="R58" s="209"/>
    </row>
    <row r="59" spans="1:18" x14ac:dyDescent="0.3">
      <c r="D59" s="211"/>
      <c r="F59" s="212"/>
      <c r="G59" s="212"/>
      <c r="H59" s="212"/>
      <c r="I59" s="212"/>
      <c r="J59" s="213"/>
      <c r="K59" s="212"/>
      <c r="L59" s="212"/>
      <c r="M59" s="212"/>
      <c r="N59" s="212"/>
      <c r="P59" s="212"/>
      <c r="Q59" s="212"/>
    </row>
    <row r="63" spans="1:18" x14ac:dyDescent="0.3">
      <c r="F63" s="215"/>
      <c r="G63" s="215"/>
      <c r="H63" s="215"/>
      <c r="I63" s="215"/>
      <c r="J63" s="215"/>
      <c r="K63" s="215"/>
    </row>
  </sheetData>
  <mergeCells count="20">
    <mergeCell ref="Q5:R5"/>
    <mergeCell ref="P4:R4"/>
    <mergeCell ref="D5:D6"/>
    <mergeCell ref="E5:F5"/>
    <mergeCell ref="G5:G6"/>
    <mergeCell ref="H5:I5"/>
    <mergeCell ref="J5:J6"/>
    <mergeCell ref="K5:L5"/>
    <mergeCell ref="M5:M6"/>
    <mergeCell ref="N5:O5"/>
    <mergeCell ref="P5:P6"/>
    <mergeCell ref="A1:O1"/>
    <mergeCell ref="A2:O2"/>
    <mergeCell ref="A4:A6"/>
    <mergeCell ref="B4:B6"/>
    <mergeCell ref="C4:C6"/>
    <mergeCell ref="D4:F4"/>
    <mergeCell ref="G4:I4"/>
    <mergeCell ref="J4:L4"/>
    <mergeCell ref="M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доходы!Заголовки_для_печати</vt:lpstr>
    </vt:vector>
  </TitlesOfParts>
  <Company>Управление по финансам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Куклина Светланан Николаевна</cp:lastModifiedBy>
  <cp:lastPrinted>2012-10-16T10:40:25Z</cp:lastPrinted>
  <dcterms:created xsi:type="dcterms:W3CDTF">2007-07-04T09:57:04Z</dcterms:created>
  <dcterms:modified xsi:type="dcterms:W3CDTF">2015-02-25T05:28:38Z</dcterms:modified>
</cp:coreProperties>
</file>